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0395" windowHeight="4815" tabRatio="647" firstSheet="1" activeTab="6"/>
  </bookViews>
  <sheets>
    <sheet name="TIR y VPN" sheetId="4" r:id="rId1"/>
    <sheet name="calculos" sheetId="1" r:id="rId2"/>
    <sheet name="PRI" sheetId="2" r:id="rId3"/>
    <sheet name="IR" sheetId="3" r:id="rId4"/>
    <sheet name="CAE" sheetId="5" r:id="rId5"/>
    <sheet name="Tir multiple" sheetId="6" r:id="rId6"/>
    <sheet name="CAE (2)" sheetId="7" r:id="rId7"/>
    <sheet name="Hoja1" sheetId="8" r:id="rId8"/>
  </sheets>
  <calcPr calcId="145621"/>
</workbook>
</file>

<file path=xl/calcChain.xml><?xml version="1.0" encoding="utf-8"?>
<calcChain xmlns="http://schemas.openxmlformats.org/spreadsheetml/2006/main">
  <c r="B9" i="7" l="1"/>
  <c r="B9" i="1"/>
  <c r="D8" i="1"/>
  <c r="C9" i="1"/>
  <c r="C8" i="1"/>
  <c r="B21" i="1"/>
  <c r="C22" i="1"/>
  <c r="B22" i="1"/>
  <c r="B7" i="6"/>
  <c r="D59" i="7" l="1"/>
  <c r="C59" i="7"/>
  <c r="B59" i="7"/>
  <c r="B58" i="7"/>
  <c r="B57" i="7"/>
  <c r="B53" i="7"/>
  <c r="B44" i="7"/>
  <c r="B45" i="7"/>
  <c r="F42" i="7"/>
  <c r="E41" i="7"/>
  <c r="E42" i="7" s="1"/>
  <c r="D41" i="7"/>
  <c r="D42" i="7" s="1"/>
  <c r="C41" i="7"/>
  <c r="C42" i="7" s="1"/>
  <c r="B41" i="7"/>
  <c r="B43" i="7" s="1"/>
  <c r="C37" i="7"/>
  <c r="D37" i="7" s="1"/>
  <c r="E37" i="7" s="1"/>
  <c r="B32" i="7"/>
  <c r="B31" i="7"/>
  <c r="B30" i="7"/>
  <c r="G30" i="7"/>
  <c r="G29" i="7"/>
  <c r="F29" i="7"/>
  <c r="E29" i="7"/>
  <c r="D29" i="7"/>
  <c r="C29" i="7"/>
  <c r="C28" i="7"/>
  <c r="B28" i="7"/>
  <c r="D28" i="7"/>
  <c r="C24" i="7"/>
  <c r="D24" i="7" s="1"/>
  <c r="E24" i="7" s="1"/>
  <c r="F24" i="7" s="1"/>
  <c r="B8" i="7"/>
  <c r="G13" i="4"/>
  <c r="G12" i="4"/>
  <c r="G9" i="4"/>
  <c r="G8" i="4"/>
  <c r="G2" i="4"/>
  <c r="G18" i="8"/>
  <c r="F19" i="8"/>
  <c r="G19" i="8" s="1"/>
  <c r="F18" i="8"/>
  <c r="G17" i="8"/>
  <c r="F17" i="8"/>
  <c r="G16" i="8"/>
  <c r="G20" i="8" s="1"/>
  <c r="G21" i="8" s="1"/>
  <c r="H21" i="8" s="1"/>
  <c r="F16" i="8"/>
  <c r="G9" i="8"/>
  <c r="G7" i="8"/>
  <c r="F6" i="8"/>
  <c r="G6" i="8" s="1"/>
  <c r="F7" i="8"/>
  <c r="F8" i="8"/>
  <c r="G8" i="8" s="1"/>
  <c r="F9" i="8"/>
  <c r="F10" i="8"/>
  <c r="G10" i="8" s="1"/>
  <c r="C11" i="7"/>
  <c r="D11" i="7" s="1"/>
  <c r="E11" i="7" s="1"/>
  <c r="F11" i="7" s="1"/>
  <c r="G11" i="7" s="1"/>
  <c r="C7" i="7"/>
  <c r="B7" i="7"/>
  <c r="D5" i="7"/>
  <c r="E5" i="7" s="1"/>
  <c r="C3" i="7"/>
  <c r="D3" i="7" s="1"/>
  <c r="E3" i="7" s="1"/>
  <c r="F3" i="7" s="1"/>
  <c r="G3" i="7" s="1"/>
  <c r="A13" i="6"/>
  <c r="A14" i="6" s="1"/>
  <c r="C12" i="6"/>
  <c r="B12" i="6"/>
  <c r="B8" i="6"/>
  <c r="H6" i="6"/>
  <c r="F9" i="6" s="1"/>
  <c r="F5" i="6"/>
  <c r="F4" i="6"/>
  <c r="B4" i="6"/>
  <c r="F3" i="6"/>
  <c r="B3" i="6"/>
  <c r="G8" i="3"/>
  <c r="E3" i="3"/>
  <c r="E2" i="4"/>
  <c r="G1" i="4"/>
  <c r="E1" i="4"/>
  <c r="F26" i="1"/>
  <c r="E26" i="1"/>
  <c r="E25" i="1" s="1"/>
  <c r="D26" i="1"/>
  <c r="C26" i="1"/>
  <c r="C25" i="1" s="1"/>
  <c r="D25" i="1"/>
  <c r="F25" i="1"/>
  <c r="D12" i="1"/>
  <c r="F12" i="1"/>
  <c r="F13" i="1"/>
  <c r="E13" i="1"/>
  <c r="E12" i="1" s="1"/>
  <c r="D13" i="1"/>
  <c r="C13" i="1"/>
  <c r="C12" i="1" s="1"/>
  <c r="G12" i="1" s="1"/>
  <c r="H12" i="1" s="1"/>
  <c r="B8" i="1" s="1"/>
  <c r="F6" i="1"/>
  <c r="F43" i="7" l="1"/>
  <c r="F28" i="7"/>
  <c r="E28" i="7"/>
  <c r="G11" i="8"/>
  <c r="G12" i="8" s="1"/>
  <c r="H12" i="8" s="1"/>
  <c r="F11" i="8"/>
  <c r="F12" i="8" s="1"/>
  <c r="C14" i="6"/>
  <c r="A15" i="6"/>
  <c r="B14" i="6"/>
  <c r="C12" i="7"/>
  <c r="C13" i="7"/>
  <c r="D13" i="7" s="1"/>
  <c r="E13" i="7" s="1"/>
  <c r="F13" i="7" s="1"/>
  <c r="G13" i="7" s="1"/>
  <c r="E7" i="7"/>
  <c r="F5" i="7"/>
  <c r="F7" i="6"/>
  <c r="F8" i="6"/>
  <c r="C13" i="6"/>
  <c r="D7" i="7"/>
  <c r="B13" i="6"/>
  <c r="G25" i="1"/>
  <c r="H25" i="1" s="1"/>
  <c r="G5" i="7" l="1"/>
  <c r="G7" i="7" s="1"/>
  <c r="F7" i="7"/>
  <c r="D12" i="7"/>
  <c r="A16" i="6"/>
  <c r="B15" i="6"/>
  <c r="C15" i="6"/>
  <c r="C14" i="7"/>
  <c r="D14" i="7" s="1"/>
  <c r="E14" i="7" s="1"/>
  <c r="F14" i="7" s="1"/>
  <c r="G14" i="7" s="1"/>
  <c r="C15" i="7" l="1"/>
  <c r="C16" i="6"/>
  <c r="A17" i="6"/>
  <c r="B16" i="6"/>
  <c r="D15" i="7"/>
  <c r="E12" i="7"/>
  <c r="A18" i="6" l="1"/>
  <c r="B17" i="6"/>
  <c r="C17" i="6"/>
  <c r="E15" i="7"/>
  <c r="F12" i="7"/>
  <c r="F15" i="7" l="1"/>
  <c r="G12" i="7"/>
  <c r="G15" i="7" s="1"/>
  <c r="C18" i="6"/>
  <c r="A19" i="6"/>
  <c r="B18" i="6"/>
  <c r="A20" i="6" l="1"/>
  <c r="B19" i="6"/>
  <c r="C19" i="6"/>
  <c r="C20" i="6" l="1"/>
  <c r="A21" i="6"/>
  <c r="B20" i="6"/>
  <c r="A22" i="6" l="1"/>
  <c r="B21" i="6"/>
  <c r="C21" i="6"/>
  <c r="C22" i="6" l="1"/>
  <c r="A23" i="6"/>
  <c r="B22" i="6"/>
  <c r="B23" i="6" l="1"/>
  <c r="C23" i="6"/>
</calcChain>
</file>

<file path=xl/sharedStrings.xml><?xml version="1.0" encoding="utf-8"?>
<sst xmlns="http://schemas.openxmlformats.org/spreadsheetml/2006/main" count="112" uniqueCount="62">
  <si>
    <t>Proyecto Taxi</t>
  </si>
  <si>
    <t>Inversión</t>
  </si>
  <si>
    <t>Ingresos netos</t>
  </si>
  <si>
    <t>Valor de Venta</t>
  </si>
  <si>
    <t>Flujo de caja</t>
  </si>
  <si>
    <t>Tasa Descuento</t>
  </si>
  <si>
    <t>VPN</t>
  </si>
  <si>
    <t>TIR</t>
  </si>
  <si>
    <t>CALCULOS</t>
  </si>
  <si>
    <t>VPN=</t>
  </si>
  <si>
    <t>Período</t>
  </si>
  <si>
    <t>Flujo de Fondos</t>
  </si>
  <si>
    <t>VAN</t>
  </si>
  <si>
    <t>FLUJOS NETOS DE EFECTIVO PROYECTO A</t>
  </si>
  <si>
    <t>CONCEPTO</t>
  </si>
  <si>
    <t>Per 0</t>
  </si>
  <si>
    <t>Per 1</t>
  </si>
  <si>
    <t>Per 2</t>
  </si>
  <si>
    <t>Per 3</t>
  </si>
  <si>
    <t>Per 4</t>
  </si>
  <si>
    <t>Per 5</t>
  </si>
  <si>
    <t>Resultado del ejercicio</t>
  </si>
  <si>
    <t>+ Depreciación</t>
  </si>
  <si>
    <t>+ Amortización de diferidos</t>
  </si>
  <si>
    <t>+ Provisiones</t>
  </si>
  <si>
    <t>- Inversión Inicial</t>
  </si>
  <si>
    <t>FLUJO NETO DE EFECTIVO</t>
  </si>
  <si>
    <t>FLUJOS NETOS DE EFECTIVO PROYECTO B</t>
  </si>
  <si>
    <r>
      <t>IR</t>
    </r>
    <r>
      <rPr>
        <sz val="20"/>
        <color rgb="FF000000"/>
        <rFont val="Tahoma"/>
        <family val="2"/>
      </rPr>
      <t xml:space="preserve"> = 1 + </t>
    </r>
    <r>
      <rPr>
        <u/>
        <sz val="20"/>
        <color rgb="FF000000"/>
        <rFont val="Tahoma"/>
        <family val="2"/>
      </rPr>
      <t xml:space="preserve">VPN </t>
    </r>
  </si>
  <si>
    <t>              Io</t>
  </si>
  <si>
    <r>
      <t xml:space="preserve">= </t>
    </r>
    <r>
      <rPr>
        <b/>
        <sz val="18"/>
        <color rgb="FF000000"/>
        <rFont val="Tahoma"/>
        <family val="2"/>
      </rPr>
      <t>IR</t>
    </r>
    <r>
      <rPr>
        <sz val="18"/>
        <color rgb="FF000000"/>
        <rFont val="Tahoma"/>
        <family val="2"/>
      </rPr>
      <t xml:space="preserve"> = 1  +  </t>
    </r>
    <r>
      <rPr>
        <u/>
        <sz val="18"/>
        <color rgb="FF000000"/>
        <rFont val="Tahoma"/>
        <family val="2"/>
      </rPr>
      <t xml:space="preserve">80,140.15 </t>
    </r>
  </si>
  <si>
    <t>                   300 000</t>
  </si>
  <si>
    <t>IR= 1 +  0.2671</t>
  </si>
  <si>
    <t xml:space="preserve">IR= </t>
  </si>
  <si>
    <t>Tasa de oportunidad</t>
  </si>
  <si>
    <t>Inversión A</t>
  </si>
  <si>
    <t>TVR</t>
  </si>
  <si>
    <t>Inversión B</t>
  </si>
  <si>
    <t xml:space="preserve">Tasa </t>
  </si>
  <si>
    <t>VPN A</t>
  </si>
  <si>
    <t>VPN B</t>
  </si>
  <si>
    <t>Tasa de descuento</t>
  </si>
  <si>
    <t>Tasa de crecimiento</t>
  </si>
  <si>
    <t>Costos</t>
  </si>
  <si>
    <t>Salvamento</t>
  </si>
  <si>
    <t>Flujo neto</t>
  </si>
  <si>
    <t>CAE</t>
  </si>
  <si>
    <t>Serie1 Inversión</t>
  </si>
  <si>
    <t>Serie 2  Recuperación</t>
  </si>
  <si>
    <t>Serie 3  Mantenimiento y operación</t>
  </si>
  <si>
    <t>Costo Anual Equivalente</t>
  </si>
  <si>
    <t>2010    $  3.10</t>
  </si>
  <si>
    <t>2009        2.92</t>
  </si>
  <si>
    <t>2008        2.60</t>
  </si>
  <si>
    <t>2007        2.30</t>
  </si>
  <si>
    <t>2006        2.12</t>
  </si>
  <si>
    <t>PROYECTO B</t>
  </si>
  <si>
    <t>PROYECTO A</t>
  </si>
  <si>
    <t>COSTO DE OPORTUNIDAD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</si>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</sst>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#,##0;[Red]\(#,##0\)"/>
    <numFmt numFmtId="165" formatCode="#,##0.00;[Red]\(#,##0.00\)"/>
    <numFmt numFmtId="166" formatCode="0.0000%"/>
    <numFmt numFmtId="167" formatCode="&quot;$&quot;\ #,##0.00;[Red]&quot;$&quot;\ \-#,##0.00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3" tint="-0.249977111117893"/>
      <name val="Verdana"/>
      <family val="2"/>
    </font>
    <font>
      <b/>
      <sz val="10"/>
      <color theme="3" tint="-0.249977111117893"/>
      <name val="Verdana"/>
      <family val="2"/>
    </font>
    <font>
      <b/>
      <sz val="10"/>
      <color rgb="FFFF0000"/>
      <name val="Verdana"/>
      <family val="2"/>
    </font>
    <font>
      <sz val="10"/>
      <name val="Courier New"/>
      <family val="3"/>
    </font>
    <font>
      <b/>
      <i/>
      <sz val="9"/>
      <color indexed="9"/>
      <name val="Courier New"/>
      <family val="3"/>
    </font>
    <font>
      <sz val="10"/>
      <color indexed="18"/>
      <name val="Courier New"/>
      <family val="3"/>
    </font>
    <font>
      <sz val="10"/>
      <color rgb="FF000099"/>
      <name val="Verdana"/>
      <family val="2"/>
    </font>
    <font>
      <sz val="12"/>
      <color theme="1"/>
      <name val="Times New Roman"/>
      <family val="1"/>
    </font>
    <font>
      <b/>
      <sz val="10"/>
      <color rgb="FF000080"/>
      <name val="Verdana"/>
      <family val="2"/>
    </font>
    <font>
      <sz val="10"/>
      <color rgb="FF000080"/>
      <name val="Verdana"/>
      <family val="2"/>
    </font>
    <font>
      <b/>
      <sz val="20"/>
      <color rgb="FF000000"/>
      <name val="Tahoma"/>
      <family val="2"/>
    </font>
    <font>
      <sz val="20"/>
      <color rgb="FF000000"/>
      <name val="Tahoma"/>
      <family val="2"/>
    </font>
    <font>
      <u/>
      <sz val="20"/>
      <color rgb="FF000000"/>
      <name val="Tahoma"/>
      <family val="2"/>
    </font>
    <font>
      <sz val="18"/>
      <color rgb="FF000000"/>
      <name val="Tahoma"/>
      <family val="2"/>
    </font>
    <font>
      <b/>
      <sz val="18"/>
      <color rgb="FF000000"/>
      <name val="Tahoma"/>
      <family val="2"/>
    </font>
    <font>
      <u/>
      <sz val="18"/>
      <color rgb="FF00000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21" fillId="0" borderId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164" fontId="3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/>
    <xf numFmtId="164" fontId="5" fillId="0" borderId="0" xfId="2" applyNumberFormat="1" applyFont="1"/>
    <xf numFmtId="164" fontId="6" fillId="0" borderId="0" xfId="2" applyNumberFormat="1" applyFont="1"/>
    <xf numFmtId="10" fontId="6" fillId="0" borderId="0" xfId="3" applyNumberFormat="1" applyFont="1"/>
    <xf numFmtId="10" fontId="5" fillId="0" borderId="0" xfId="3" applyNumberFormat="1" applyFont="1"/>
    <xf numFmtId="164" fontId="7" fillId="2" borderId="0" xfId="2" applyNumberFormat="1" applyFont="1" applyFill="1"/>
    <xf numFmtId="43" fontId="0" fillId="0" borderId="0" xfId="1" applyFont="1"/>
    <xf numFmtId="43" fontId="0" fillId="0" borderId="0" xfId="0" applyNumberFormat="1"/>
    <xf numFmtId="165" fontId="6" fillId="0" borderId="0" xfId="2" applyNumberFormat="1" applyFont="1"/>
    <xf numFmtId="0" fontId="2" fillId="0" borderId="0" xfId="2"/>
    <xf numFmtId="164" fontId="3" fillId="0" borderId="0" xfId="2" applyNumberFormat="1" applyFont="1"/>
    <xf numFmtId="164" fontId="4" fillId="0" borderId="0" xfId="2" applyNumberFormat="1" applyFont="1"/>
    <xf numFmtId="164" fontId="6" fillId="0" borderId="0" xfId="2" applyNumberFormat="1" applyFont="1"/>
    <xf numFmtId="10" fontId="6" fillId="0" borderId="0" xfId="3" applyNumberFormat="1" applyFont="1"/>
    <xf numFmtId="164" fontId="7" fillId="2" borderId="0" xfId="2" applyNumberFormat="1" applyFont="1" applyFill="1"/>
    <xf numFmtId="10" fontId="0" fillId="0" borderId="0" xfId="0" applyNumberFormat="1"/>
    <xf numFmtId="166" fontId="0" fillId="0" borderId="0" xfId="0" applyNumberFormat="1"/>
    <xf numFmtId="0" fontId="9" fillId="3" borderId="1" xfId="4" applyFont="1" applyFill="1" applyBorder="1" applyAlignment="1">
      <alignment horizontal="right"/>
    </xf>
    <xf numFmtId="0" fontId="9" fillId="3" borderId="2" xfId="4" applyFont="1" applyFill="1" applyBorder="1" applyAlignment="1">
      <alignment horizontal="right"/>
    </xf>
    <xf numFmtId="0" fontId="8" fillId="0" borderId="0" xfId="4"/>
    <xf numFmtId="0" fontId="8" fillId="4" borderId="3" xfId="4" applyFill="1" applyBorder="1"/>
    <xf numFmtId="10" fontId="8" fillId="4" borderId="4" xfId="4" applyNumberFormat="1" applyFill="1" applyBorder="1"/>
    <xf numFmtId="0" fontId="10" fillId="5" borderId="5" xfId="4" applyFont="1" applyFill="1" applyBorder="1" applyAlignment="1"/>
    <xf numFmtId="0" fontId="10" fillId="5" borderId="6" xfId="4" applyFont="1" applyFill="1" applyBorder="1" applyAlignment="1"/>
    <xf numFmtId="0" fontId="8" fillId="4" borderId="7" xfId="4" applyFill="1" applyBorder="1"/>
    <xf numFmtId="167" fontId="8" fillId="4" borderId="8" xfId="4" applyNumberFormat="1" applyFill="1" applyBorder="1"/>
    <xf numFmtId="0" fontId="10" fillId="5" borderId="7" xfId="4" applyFont="1" applyFill="1" applyBorder="1" applyAlignment="1"/>
    <xf numFmtId="0" fontId="10" fillId="5" borderId="8" xfId="4" applyFont="1" applyFill="1" applyBorder="1" applyAlignment="1"/>
    <xf numFmtId="0" fontId="13" fillId="6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12" fillId="0" borderId="9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68" fontId="0" fillId="0" borderId="0" xfId="0" applyNumberFormat="1"/>
    <xf numFmtId="0" fontId="15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16" fillId="0" borderId="0" xfId="0" applyFont="1" applyAlignment="1">
      <alignment horizontal="left" readingOrder="1"/>
    </xf>
    <xf numFmtId="0" fontId="18" fillId="0" borderId="0" xfId="0" applyFont="1" applyAlignment="1">
      <alignment horizontal="left" readingOrder="1"/>
    </xf>
    <xf numFmtId="0" fontId="18" fillId="0" borderId="0" xfId="0" applyFont="1" applyAlignment="1">
      <alignment horizontal="right" readingOrder="1"/>
    </xf>
    <xf numFmtId="0" fontId="22" fillId="0" borderId="0" xfId="5" applyFont="1"/>
    <xf numFmtId="9" fontId="22" fillId="0" borderId="0" xfId="5" applyNumberFormat="1" applyFont="1"/>
    <xf numFmtId="38" fontId="22" fillId="0" borderId="0" xfId="5" applyNumberFormat="1" applyFont="1"/>
    <xf numFmtId="10" fontId="22" fillId="0" borderId="0" xfId="6" applyNumberFormat="1" applyFont="1"/>
    <xf numFmtId="40" fontId="22" fillId="0" borderId="0" xfId="5" applyNumberFormat="1" applyFont="1"/>
    <xf numFmtId="0" fontId="22" fillId="0" borderId="0" xfId="5" applyFont="1" applyAlignment="1">
      <alignment horizontal="center"/>
    </xf>
    <xf numFmtId="9" fontId="22" fillId="0" borderId="0" xfId="6" applyNumberFormat="1" applyFont="1" applyAlignment="1">
      <alignment horizontal="center"/>
    </xf>
    <xf numFmtId="0" fontId="23" fillId="0" borderId="0" xfId="5" applyFont="1"/>
    <xf numFmtId="9" fontId="23" fillId="0" borderId="0" xfId="5" applyNumberFormat="1" applyFont="1" applyAlignment="1">
      <alignment horizontal="center"/>
    </xf>
    <xf numFmtId="0" fontId="21" fillId="0" borderId="0" xfId="5" applyFont="1"/>
    <xf numFmtId="9" fontId="21" fillId="0" borderId="0" xfId="5" applyNumberFormat="1" applyFont="1" applyAlignment="1">
      <alignment horizontal="center"/>
    </xf>
    <xf numFmtId="0" fontId="23" fillId="0" borderId="0" xfId="5" applyFont="1" applyAlignment="1">
      <alignment horizontal="center"/>
    </xf>
    <xf numFmtId="3" fontId="21" fillId="0" borderId="0" xfId="5" applyNumberFormat="1" applyFont="1"/>
    <xf numFmtId="3" fontId="23" fillId="0" borderId="0" xfId="5" applyNumberFormat="1" applyFont="1"/>
    <xf numFmtId="38" fontId="21" fillId="0" borderId="0" xfId="5" applyNumberFormat="1" applyFont="1"/>
    <xf numFmtId="38" fontId="23" fillId="0" borderId="0" xfId="5" applyNumberFormat="1" applyFont="1"/>
    <xf numFmtId="0" fontId="24" fillId="0" borderId="0" xfId="0" applyFont="1" applyAlignment="1">
      <alignment horizontal="justify"/>
    </xf>
    <xf numFmtId="8" fontId="21" fillId="0" borderId="0" xfId="5" applyNumberFormat="1" applyFont="1"/>
    <xf numFmtId="0" fontId="2" fillId="0" borderId="0" xfId="5" applyFont="1"/>
    <xf numFmtId="43" fontId="21" fillId="0" borderId="0" xfId="1" applyFont="1"/>
    <xf numFmtId="43" fontId="22" fillId="0" borderId="0" xfId="1" applyFont="1"/>
    <xf numFmtId="8" fontId="22" fillId="0" borderId="0" xfId="5" applyNumberFormat="1" applyFont="1"/>
    <xf numFmtId="9" fontId="2" fillId="0" borderId="0" xfId="2" applyNumberFormat="1"/>
    <xf numFmtId="8" fontId="2" fillId="0" borderId="0" xfId="2" applyNumberFormat="1"/>
  </cellXfs>
  <cellStyles count="7">
    <cellStyle name="Millares" xfId="1" builtinId="3"/>
    <cellStyle name="Normal" xfId="0" builtinId="0"/>
    <cellStyle name="Normal 2" xfId="2"/>
    <cellStyle name="Normal 3" xfId="4"/>
    <cellStyle name="Normal 4" xfId="5"/>
    <cellStyle name="Porcentual 2" xfId="3"/>
    <cellStyle name="Porcentu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Valor Presente Neto</a:t>
            </a:r>
          </a:p>
        </c:rich>
      </c:tx>
      <c:layout>
        <c:manualLayout>
          <c:xMode val="edge"/>
          <c:yMode val="edge"/>
          <c:x val="0.21252371916508539"/>
          <c:y val="2.1201413427561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3472485768487"/>
          <c:y val="0.27561885010429932"/>
          <c:w val="0.83870967741935598"/>
          <c:h val="0.671379250254062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'Tir multiple'!$B$11</c:f>
              <c:strCache>
                <c:ptCount val="1"/>
                <c:pt idx="0">
                  <c:v>VPN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'Tir multiple'!$A$12:$A$23</c:f>
              <c:numCache>
                <c:formatCode>0%</c:formatCode>
                <c:ptCount val="12"/>
                <c:pt idx="0">
                  <c:v>0.08</c:v>
                </c:pt>
                <c:pt idx="1">
                  <c:v>9.5000000000000001E-2</c:v>
                </c:pt>
                <c:pt idx="2">
                  <c:v>0.11</c:v>
                </c:pt>
                <c:pt idx="3">
                  <c:v>0.125</c:v>
                </c:pt>
                <c:pt idx="4">
                  <c:v>0.14000000000000001</c:v>
                </c:pt>
                <c:pt idx="5">
                  <c:v>0.15500000000000003</c:v>
                </c:pt>
                <c:pt idx="6">
                  <c:v>0.17000000000000004</c:v>
                </c:pt>
                <c:pt idx="7">
                  <c:v>0.18500000000000005</c:v>
                </c:pt>
                <c:pt idx="8">
                  <c:v>0.20000000000000007</c:v>
                </c:pt>
                <c:pt idx="9">
                  <c:v>0.21500000000000008</c:v>
                </c:pt>
                <c:pt idx="10">
                  <c:v>0.23000000000000009</c:v>
                </c:pt>
                <c:pt idx="11">
                  <c:v>0.24500000000000011</c:v>
                </c:pt>
              </c:numCache>
            </c:numRef>
          </c:xVal>
          <c:yVal>
            <c:numRef>
              <c:f>'Tir multiple'!$B$12:$B$23</c:f>
              <c:numCache>
                <c:formatCode>#,##0_);[Red]\(#,##0\)</c:formatCode>
                <c:ptCount val="12"/>
                <c:pt idx="0">
                  <c:v>2643.4613625971633</c:v>
                </c:pt>
                <c:pt idx="1">
                  <c:v>1915.0834025248237</c:v>
                </c:pt>
                <c:pt idx="2">
                  <c:v>1233.8854559453498</c:v>
                </c:pt>
                <c:pt idx="3">
                  <c:v>596.54320987654182</c:v>
                </c:pt>
                <c:pt idx="4">
                  <c:v>-6.3824189598100224E-12</c:v>
                </c:pt>
                <c:pt idx="5">
                  <c:v>-558.55765081604113</c:v>
                </c:pt>
                <c:pt idx="6">
                  <c:v>-1081.721989019816</c:v>
                </c:pt>
                <c:pt idx="7">
                  <c:v>-1571.8837657872909</c:v>
                </c:pt>
                <c:pt idx="8">
                  <c:v>-2031.2500000000057</c:v>
                </c:pt>
                <c:pt idx="9">
                  <c:v>-2461.8599869662557</c:v>
                </c:pt>
                <c:pt idx="10">
                  <c:v>-2865.5997446351612</c:v>
                </c:pt>
                <c:pt idx="11">
                  <c:v>-3244.2150660997909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'Tir multiple'!$C$11</c:f>
              <c:strCache>
                <c:ptCount val="1"/>
                <c:pt idx="0">
                  <c:v>VPN B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'Tir multiple'!$A$12:$A$23</c:f>
              <c:numCache>
                <c:formatCode>0%</c:formatCode>
                <c:ptCount val="12"/>
                <c:pt idx="0">
                  <c:v>0.08</c:v>
                </c:pt>
                <c:pt idx="1">
                  <c:v>9.5000000000000001E-2</c:v>
                </c:pt>
                <c:pt idx="2">
                  <c:v>0.11</c:v>
                </c:pt>
                <c:pt idx="3">
                  <c:v>0.125</c:v>
                </c:pt>
                <c:pt idx="4">
                  <c:v>0.14000000000000001</c:v>
                </c:pt>
                <c:pt idx="5">
                  <c:v>0.15500000000000003</c:v>
                </c:pt>
                <c:pt idx="6">
                  <c:v>0.17000000000000004</c:v>
                </c:pt>
                <c:pt idx="7">
                  <c:v>0.18500000000000005</c:v>
                </c:pt>
                <c:pt idx="8">
                  <c:v>0.20000000000000007</c:v>
                </c:pt>
                <c:pt idx="9">
                  <c:v>0.21500000000000008</c:v>
                </c:pt>
                <c:pt idx="10">
                  <c:v>0.23000000000000009</c:v>
                </c:pt>
                <c:pt idx="11">
                  <c:v>0.24500000000000011</c:v>
                </c:pt>
              </c:numCache>
            </c:numRef>
          </c:xVal>
          <c:yVal>
            <c:numRef>
              <c:f>'Tir multiple'!$C$12:$C$23</c:f>
              <c:numCache>
                <c:formatCode>#,##0_);[Red]\(#,##0\)</c:formatCode>
                <c:ptCount val="12"/>
                <c:pt idx="0">
                  <c:v>-196.11847787429588</c:v>
                </c:pt>
                <c:pt idx="1">
                  <c:v>-42.75633388961193</c:v>
                </c:pt>
                <c:pt idx="2">
                  <c:v>74.620493393334201</c:v>
                </c:pt>
                <c:pt idx="3">
                  <c:v>159.79149519891428</c:v>
                </c:pt>
                <c:pt idx="4">
                  <c:v>216.16016804091802</c:v>
                </c:pt>
                <c:pt idx="5">
                  <c:v>246.79329091539651</c:v>
                </c:pt>
                <c:pt idx="6">
                  <c:v>254.45578925743897</c:v>
                </c:pt>
                <c:pt idx="7">
                  <c:v>241.64172122812482</c:v>
                </c:pt>
                <c:pt idx="8">
                  <c:v>210.60185185186126</c:v>
                </c:pt>
                <c:pt idx="9">
                  <c:v>163.3682203111301</c:v>
                </c:pt>
                <c:pt idx="10">
                  <c:v>101.77605385015192</c:v>
                </c:pt>
                <c:pt idx="11">
                  <c:v>27.48333700278252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32544"/>
        <c:axId val="163134464"/>
      </c:scatterChart>
      <c:valAx>
        <c:axId val="163132544"/>
        <c:scaling>
          <c:orientation val="minMax"/>
          <c:min val="7.0000000000000021E-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Tasa</a:t>
                </a:r>
              </a:p>
            </c:rich>
          </c:tx>
          <c:layout>
            <c:manualLayout>
              <c:xMode val="edge"/>
              <c:yMode val="edge"/>
              <c:x val="0.51233396584440138"/>
              <c:y val="0.8833937100618605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3134464"/>
        <c:crosses val="autoZero"/>
        <c:crossBetween val="midCat"/>
        <c:majorUnit val="2.0000000000000011E-2"/>
      </c:valAx>
      <c:valAx>
        <c:axId val="163134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VPN</a:t>
                </a:r>
              </a:p>
            </c:rich>
          </c:tx>
          <c:layout>
            <c:manualLayout>
              <c:xMode val="edge"/>
              <c:yMode val="edge"/>
              <c:x val="9.4876660341556163E-3"/>
              <c:y val="1.76678445229682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313254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39278937381407"/>
          <c:y val="2.8268551236749071E-2"/>
          <c:w val="0.36053130929791288"/>
          <c:h val="9.18727915194346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38100</xdr:rowOff>
        </xdr:from>
        <xdr:to>
          <xdr:col>11</xdr:col>
          <xdr:colOff>723900</xdr:colOff>
          <xdr:row>18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11</xdr:row>
      <xdr:rowOff>152400</xdr:rowOff>
    </xdr:from>
    <xdr:to>
      <xdr:col>9</xdr:col>
      <xdr:colOff>95250</xdr:colOff>
      <xdr:row>28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7" sqref="E17"/>
    </sheetView>
  </sheetViews>
  <sheetFormatPr baseColWidth="10" defaultRowHeight="13.5" x14ac:dyDescent="0.25"/>
  <cols>
    <col min="1" max="1" width="8.5703125" style="23" bestFit="1" customWidth="1"/>
    <col min="2" max="2" width="16.5703125" style="23" bestFit="1" customWidth="1"/>
    <col min="3" max="6" width="11.42578125" style="23"/>
    <col min="7" max="7" width="13.85546875" style="23" customWidth="1"/>
    <col min="8" max="256" width="11.42578125" style="23"/>
    <col min="257" max="257" width="8.5703125" style="23" bestFit="1" customWidth="1"/>
    <col min="258" max="258" width="16.5703125" style="23" bestFit="1" customWidth="1"/>
    <col min="259" max="512" width="11.42578125" style="23"/>
    <col min="513" max="513" width="8.5703125" style="23" bestFit="1" customWidth="1"/>
    <col min="514" max="514" width="16.5703125" style="23" bestFit="1" customWidth="1"/>
    <col min="515" max="768" width="11.42578125" style="23"/>
    <col min="769" max="769" width="8.5703125" style="23" bestFit="1" customWidth="1"/>
    <col min="770" max="770" width="16.5703125" style="23" bestFit="1" customWidth="1"/>
    <col min="771" max="1024" width="11.42578125" style="23"/>
    <col min="1025" max="1025" width="8.5703125" style="23" bestFit="1" customWidth="1"/>
    <col min="1026" max="1026" width="16.5703125" style="23" bestFit="1" customWidth="1"/>
    <col min="1027" max="1280" width="11.42578125" style="23"/>
    <col min="1281" max="1281" width="8.5703125" style="23" bestFit="1" customWidth="1"/>
    <col min="1282" max="1282" width="16.5703125" style="23" bestFit="1" customWidth="1"/>
    <col min="1283" max="1536" width="11.42578125" style="23"/>
    <col min="1537" max="1537" width="8.5703125" style="23" bestFit="1" customWidth="1"/>
    <col min="1538" max="1538" width="16.5703125" style="23" bestFit="1" customWidth="1"/>
    <col min="1539" max="1792" width="11.42578125" style="23"/>
    <col min="1793" max="1793" width="8.5703125" style="23" bestFit="1" customWidth="1"/>
    <col min="1794" max="1794" width="16.5703125" style="23" bestFit="1" customWidth="1"/>
    <col min="1795" max="2048" width="11.42578125" style="23"/>
    <col min="2049" max="2049" width="8.5703125" style="23" bestFit="1" customWidth="1"/>
    <col min="2050" max="2050" width="16.5703125" style="23" bestFit="1" customWidth="1"/>
    <col min="2051" max="2304" width="11.42578125" style="23"/>
    <col min="2305" max="2305" width="8.5703125" style="23" bestFit="1" customWidth="1"/>
    <col min="2306" max="2306" width="16.5703125" style="23" bestFit="1" customWidth="1"/>
    <col min="2307" max="2560" width="11.42578125" style="23"/>
    <col min="2561" max="2561" width="8.5703125" style="23" bestFit="1" customWidth="1"/>
    <col min="2562" max="2562" width="16.5703125" style="23" bestFit="1" customWidth="1"/>
    <col min="2563" max="2816" width="11.42578125" style="23"/>
    <col min="2817" max="2817" width="8.5703125" style="23" bestFit="1" customWidth="1"/>
    <col min="2818" max="2818" width="16.5703125" style="23" bestFit="1" customWidth="1"/>
    <col min="2819" max="3072" width="11.42578125" style="23"/>
    <col min="3073" max="3073" width="8.5703125" style="23" bestFit="1" customWidth="1"/>
    <col min="3074" max="3074" width="16.5703125" style="23" bestFit="1" customWidth="1"/>
    <col min="3075" max="3328" width="11.42578125" style="23"/>
    <col min="3329" max="3329" width="8.5703125" style="23" bestFit="1" customWidth="1"/>
    <col min="3330" max="3330" width="16.5703125" style="23" bestFit="1" customWidth="1"/>
    <col min="3331" max="3584" width="11.42578125" style="23"/>
    <col min="3585" max="3585" width="8.5703125" style="23" bestFit="1" customWidth="1"/>
    <col min="3586" max="3586" width="16.5703125" style="23" bestFit="1" customWidth="1"/>
    <col min="3587" max="3840" width="11.42578125" style="23"/>
    <col min="3841" max="3841" width="8.5703125" style="23" bestFit="1" customWidth="1"/>
    <col min="3842" max="3842" width="16.5703125" style="23" bestFit="1" customWidth="1"/>
    <col min="3843" max="4096" width="11.42578125" style="23"/>
    <col min="4097" max="4097" width="8.5703125" style="23" bestFit="1" customWidth="1"/>
    <col min="4098" max="4098" width="16.5703125" style="23" bestFit="1" customWidth="1"/>
    <col min="4099" max="4352" width="11.42578125" style="23"/>
    <col min="4353" max="4353" width="8.5703125" style="23" bestFit="1" customWidth="1"/>
    <col min="4354" max="4354" width="16.5703125" style="23" bestFit="1" customWidth="1"/>
    <col min="4355" max="4608" width="11.42578125" style="23"/>
    <col min="4609" max="4609" width="8.5703125" style="23" bestFit="1" customWidth="1"/>
    <col min="4610" max="4610" width="16.5703125" style="23" bestFit="1" customWidth="1"/>
    <col min="4611" max="4864" width="11.42578125" style="23"/>
    <col min="4865" max="4865" width="8.5703125" style="23" bestFit="1" customWidth="1"/>
    <col min="4866" max="4866" width="16.5703125" style="23" bestFit="1" customWidth="1"/>
    <col min="4867" max="5120" width="11.42578125" style="23"/>
    <col min="5121" max="5121" width="8.5703125" style="23" bestFit="1" customWidth="1"/>
    <col min="5122" max="5122" width="16.5703125" style="23" bestFit="1" customWidth="1"/>
    <col min="5123" max="5376" width="11.42578125" style="23"/>
    <col min="5377" max="5377" width="8.5703125" style="23" bestFit="1" customWidth="1"/>
    <col min="5378" max="5378" width="16.5703125" style="23" bestFit="1" customWidth="1"/>
    <col min="5379" max="5632" width="11.42578125" style="23"/>
    <col min="5633" max="5633" width="8.5703125" style="23" bestFit="1" customWidth="1"/>
    <col min="5634" max="5634" width="16.5703125" style="23" bestFit="1" customWidth="1"/>
    <col min="5635" max="5888" width="11.42578125" style="23"/>
    <col min="5889" max="5889" width="8.5703125" style="23" bestFit="1" customWidth="1"/>
    <col min="5890" max="5890" width="16.5703125" style="23" bestFit="1" customWidth="1"/>
    <col min="5891" max="6144" width="11.42578125" style="23"/>
    <col min="6145" max="6145" width="8.5703125" style="23" bestFit="1" customWidth="1"/>
    <col min="6146" max="6146" width="16.5703125" style="23" bestFit="1" customWidth="1"/>
    <col min="6147" max="6400" width="11.42578125" style="23"/>
    <col min="6401" max="6401" width="8.5703125" style="23" bestFit="1" customWidth="1"/>
    <col min="6402" max="6402" width="16.5703125" style="23" bestFit="1" customWidth="1"/>
    <col min="6403" max="6656" width="11.42578125" style="23"/>
    <col min="6657" max="6657" width="8.5703125" style="23" bestFit="1" customWidth="1"/>
    <col min="6658" max="6658" width="16.5703125" style="23" bestFit="1" customWidth="1"/>
    <col min="6659" max="6912" width="11.42578125" style="23"/>
    <col min="6913" max="6913" width="8.5703125" style="23" bestFit="1" customWidth="1"/>
    <col min="6914" max="6914" width="16.5703125" style="23" bestFit="1" customWidth="1"/>
    <col min="6915" max="7168" width="11.42578125" style="23"/>
    <col min="7169" max="7169" width="8.5703125" style="23" bestFit="1" customWidth="1"/>
    <col min="7170" max="7170" width="16.5703125" style="23" bestFit="1" customWidth="1"/>
    <col min="7171" max="7424" width="11.42578125" style="23"/>
    <col min="7425" max="7425" width="8.5703125" style="23" bestFit="1" customWidth="1"/>
    <col min="7426" max="7426" width="16.5703125" style="23" bestFit="1" customWidth="1"/>
    <col min="7427" max="7680" width="11.42578125" style="23"/>
    <col min="7681" max="7681" width="8.5703125" style="23" bestFit="1" customWidth="1"/>
    <col min="7682" max="7682" width="16.5703125" style="23" bestFit="1" customWidth="1"/>
    <col min="7683" max="7936" width="11.42578125" style="23"/>
    <col min="7937" max="7937" width="8.5703125" style="23" bestFit="1" customWidth="1"/>
    <col min="7938" max="7938" width="16.5703125" style="23" bestFit="1" customWidth="1"/>
    <col min="7939" max="8192" width="11.42578125" style="23"/>
    <col min="8193" max="8193" width="8.5703125" style="23" bestFit="1" customWidth="1"/>
    <col min="8194" max="8194" width="16.5703125" style="23" bestFit="1" customWidth="1"/>
    <col min="8195" max="8448" width="11.42578125" style="23"/>
    <col min="8449" max="8449" width="8.5703125" style="23" bestFit="1" customWidth="1"/>
    <col min="8450" max="8450" width="16.5703125" style="23" bestFit="1" customWidth="1"/>
    <col min="8451" max="8704" width="11.42578125" style="23"/>
    <col min="8705" max="8705" width="8.5703125" style="23" bestFit="1" customWidth="1"/>
    <col min="8706" max="8706" width="16.5703125" style="23" bestFit="1" customWidth="1"/>
    <col min="8707" max="8960" width="11.42578125" style="23"/>
    <col min="8961" max="8961" width="8.5703125" style="23" bestFit="1" customWidth="1"/>
    <col min="8962" max="8962" width="16.5703125" style="23" bestFit="1" customWidth="1"/>
    <col min="8963" max="9216" width="11.42578125" style="23"/>
    <col min="9217" max="9217" width="8.5703125" style="23" bestFit="1" customWidth="1"/>
    <col min="9218" max="9218" width="16.5703125" style="23" bestFit="1" customWidth="1"/>
    <col min="9219" max="9472" width="11.42578125" style="23"/>
    <col min="9473" max="9473" width="8.5703125" style="23" bestFit="1" customWidth="1"/>
    <col min="9474" max="9474" width="16.5703125" style="23" bestFit="1" customWidth="1"/>
    <col min="9475" max="9728" width="11.42578125" style="23"/>
    <col min="9729" max="9729" width="8.5703125" style="23" bestFit="1" customWidth="1"/>
    <col min="9730" max="9730" width="16.5703125" style="23" bestFit="1" customWidth="1"/>
    <col min="9731" max="9984" width="11.42578125" style="23"/>
    <col min="9985" max="9985" width="8.5703125" style="23" bestFit="1" customWidth="1"/>
    <col min="9986" max="9986" width="16.5703125" style="23" bestFit="1" customWidth="1"/>
    <col min="9987" max="10240" width="11.42578125" style="23"/>
    <col min="10241" max="10241" width="8.5703125" style="23" bestFit="1" customWidth="1"/>
    <col min="10242" max="10242" width="16.5703125" style="23" bestFit="1" customWidth="1"/>
    <col min="10243" max="10496" width="11.42578125" style="23"/>
    <col min="10497" max="10497" width="8.5703125" style="23" bestFit="1" customWidth="1"/>
    <col min="10498" max="10498" width="16.5703125" style="23" bestFit="1" customWidth="1"/>
    <col min="10499" max="10752" width="11.42578125" style="23"/>
    <col min="10753" max="10753" width="8.5703125" style="23" bestFit="1" customWidth="1"/>
    <col min="10754" max="10754" width="16.5703125" style="23" bestFit="1" customWidth="1"/>
    <col min="10755" max="11008" width="11.42578125" style="23"/>
    <col min="11009" max="11009" width="8.5703125" style="23" bestFit="1" customWidth="1"/>
    <col min="11010" max="11010" width="16.5703125" style="23" bestFit="1" customWidth="1"/>
    <col min="11011" max="11264" width="11.42578125" style="23"/>
    <col min="11265" max="11265" width="8.5703125" style="23" bestFit="1" customWidth="1"/>
    <col min="11266" max="11266" width="16.5703125" style="23" bestFit="1" customWidth="1"/>
    <col min="11267" max="11520" width="11.42578125" style="23"/>
    <col min="11521" max="11521" width="8.5703125" style="23" bestFit="1" customWidth="1"/>
    <col min="11522" max="11522" width="16.5703125" style="23" bestFit="1" customWidth="1"/>
    <col min="11523" max="11776" width="11.42578125" style="23"/>
    <col min="11777" max="11777" width="8.5703125" style="23" bestFit="1" customWidth="1"/>
    <col min="11778" max="11778" width="16.5703125" style="23" bestFit="1" customWidth="1"/>
    <col min="11779" max="12032" width="11.42578125" style="23"/>
    <col min="12033" max="12033" width="8.5703125" style="23" bestFit="1" customWidth="1"/>
    <col min="12034" max="12034" width="16.5703125" style="23" bestFit="1" customWidth="1"/>
    <col min="12035" max="12288" width="11.42578125" style="23"/>
    <col min="12289" max="12289" width="8.5703125" style="23" bestFit="1" customWidth="1"/>
    <col min="12290" max="12290" width="16.5703125" style="23" bestFit="1" customWidth="1"/>
    <col min="12291" max="12544" width="11.42578125" style="23"/>
    <col min="12545" max="12545" width="8.5703125" style="23" bestFit="1" customWidth="1"/>
    <col min="12546" max="12546" width="16.5703125" style="23" bestFit="1" customWidth="1"/>
    <col min="12547" max="12800" width="11.42578125" style="23"/>
    <col min="12801" max="12801" width="8.5703125" style="23" bestFit="1" customWidth="1"/>
    <col min="12802" max="12802" width="16.5703125" style="23" bestFit="1" customWidth="1"/>
    <col min="12803" max="13056" width="11.42578125" style="23"/>
    <col min="13057" max="13057" width="8.5703125" style="23" bestFit="1" customWidth="1"/>
    <col min="13058" max="13058" width="16.5703125" style="23" bestFit="1" customWidth="1"/>
    <col min="13059" max="13312" width="11.42578125" style="23"/>
    <col min="13313" max="13313" width="8.5703125" style="23" bestFit="1" customWidth="1"/>
    <col min="13314" max="13314" width="16.5703125" style="23" bestFit="1" customWidth="1"/>
    <col min="13315" max="13568" width="11.42578125" style="23"/>
    <col min="13569" max="13569" width="8.5703125" style="23" bestFit="1" customWidth="1"/>
    <col min="13570" max="13570" width="16.5703125" style="23" bestFit="1" customWidth="1"/>
    <col min="13571" max="13824" width="11.42578125" style="23"/>
    <col min="13825" max="13825" width="8.5703125" style="23" bestFit="1" customWidth="1"/>
    <col min="13826" max="13826" width="16.5703125" style="23" bestFit="1" customWidth="1"/>
    <col min="13827" max="14080" width="11.42578125" style="23"/>
    <col min="14081" max="14081" width="8.5703125" style="23" bestFit="1" customWidth="1"/>
    <col min="14082" max="14082" width="16.5703125" style="23" bestFit="1" customWidth="1"/>
    <col min="14083" max="14336" width="11.42578125" style="23"/>
    <col min="14337" max="14337" width="8.5703125" style="23" bestFit="1" customWidth="1"/>
    <col min="14338" max="14338" width="16.5703125" style="23" bestFit="1" customWidth="1"/>
    <col min="14339" max="14592" width="11.42578125" style="23"/>
    <col min="14593" max="14593" width="8.5703125" style="23" bestFit="1" customWidth="1"/>
    <col min="14594" max="14594" width="16.5703125" style="23" bestFit="1" customWidth="1"/>
    <col min="14595" max="14848" width="11.42578125" style="23"/>
    <col min="14849" max="14849" width="8.5703125" style="23" bestFit="1" customWidth="1"/>
    <col min="14850" max="14850" width="16.5703125" style="23" bestFit="1" customWidth="1"/>
    <col min="14851" max="15104" width="11.42578125" style="23"/>
    <col min="15105" max="15105" width="8.5703125" style="23" bestFit="1" customWidth="1"/>
    <col min="15106" max="15106" width="16.5703125" style="23" bestFit="1" customWidth="1"/>
    <col min="15107" max="15360" width="11.42578125" style="23"/>
    <col min="15361" max="15361" width="8.5703125" style="23" bestFit="1" customWidth="1"/>
    <col min="15362" max="15362" width="16.5703125" style="23" bestFit="1" customWidth="1"/>
    <col min="15363" max="15616" width="11.42578125" style="23"/>
    <col min="15617" max="15617" width="8.5703125" style="23" bestFit="1" customWidth="1"/>
    <col min="15618" max="15618" width="16.5703125" style="23" bestFit="1" customWidth="1"/>
    <col min="15619" max="15872" width="11.42578125" style="23"/>
    <col min="15873" max="15873" width="8.5703125" style="23" bestFit="1" customWidth="1"/>
    <col min="15874" max="15874" width="16.5703125" style="23" bestFit="1" customWidth="1"/>
    <col min="15875" max="16128" width="11.42578125" style="23"/>
    <col min="16129" max="16129" width="8.5703125" style="23" bestFit="1" customWidth="1"/>
    <col min="16130" max="16130" width="16.5703125" style="23" bestFit="1" customWidth="1"/>
    <col min="16131" max="16384" width="11.42578125" style="23"/>
  </cols>
  <sheetData>
    <row r="1" spans="1:7" x14ac:dyDescent="0.25">
      <c r="A1" s="21" t="s">
        <v>10</v>
      </c>
      <c r="B1" s="22" t="s">
        <v>11</v>
      </c>
      <c r="D1" s="24" t="s">
        <v>7</v>
      </c>
      <c r="E1" s="25">
        <f>IRR(B2:B12)</f>
        <v>0.15098414477083444</v>
      </c>
      <c r="F1" s="23">
        <v>-7500</v>
      </c>
      <c r="G1" s="25">
        <f>IRR(F1:F5)</f>
        <v>0.11364280329593468</v>
      </c>
    </row>
    <row r="2" spans="1:7" ht="14.25" thickBot="1" x14ac:dyDescent="0.3">
      <c r="A2" s="26">
        <v>0</v>
      </c>
      <c r="B2" s="27">
        <v>-100</v>
      </c>
      <c r="D2" s="28" t="s">
        <v>12</v>
      </c>
      <c r="E2" s="29">
        <f>NPV(0.1,B3:B12)+B2</f>
        <v>22.891342114093604</v>
      </c>
      <c r="F2" s="23">
        <v>4000</v>
      </c>
      <c r="G2" s="29">
        <f>NPV(0.15,F2:F4)+F1</f>
        <v>-388.96194624804684</v>
      </c>
    </row>
    <row r="3" spans="1:7" x14ac:dyDescent="0.25">
      <c r="A3" s="26">
        <v>1</v>
      </c>
      <c r="B3" s="27">
        <v>20</v>
      </c>
      <c r="F3" s="23">
        <v>3500</v>
      </c>
    </row>
    <row r="4" spans="1:7" x14ac:dyDescent="0.25">
      <c r="A4" s="26">
        <v>2</v>
      </c>
      <c r="B4" s="27">
        <v>20</v>
      </c>
      <c r="F4" s="23">
        <v>1500</v>
      </c>
    </row>
    <row r="5" spans="1:7" x14ac:dyDescent="0.25">
      <c r="A5" s="26">
        <v>3</v>
      </c>
      <c r="B5" s="27">
        <v>20</v>
      </c>
    </row>
    <row r="6" spans="1:7" x14ac:dyDescent="0.25">
      <c r="A6" s="26">
        <v>4</v>
      </c>
      <c r="B6" s="27">
        <v>20</v>
      </c>
    </row>
    <row r="7" spans="1:7" ht="14.25" thickBot="1" x14ac:dyDescent="0.3">
      <c r="A7" s="26">
        <v>5</v>
      </c>
      <c r="B7" s="27">
        <v>20</v>
      </c>
    </row>
    <row r="8" spans="1:7" x14ac:dyDescent="0.25">
      <c r="A8" s="26">
        <v>6</v>
      </c>
      <c r="B8" s="27">
        <v>20</v>
      </c>
      <c r="F8" s="23">
        <v>-5000</v>
      </c>
      <c r="G8" s="25" t="e">
        <f>IRR(F8:F12)</f>
        <v>#NUM!</v>
      </c>
    </row>
    <row r="9" spans="1:7" ht="14.25" thickBot="1" x14ac:dyDescent="0.3">
      <c r="A9" s="26">
        <v>7</v>
      </c>
      <c r="B9" s="27">
        <v>20</v>
      </c>
      <c r="F9" s="23">
        <v>3500</v>
      </c>
      <c r="G9" s="29">
        <f>NPV(0.15,F9:F11)+F8</f>
        <v>689.98109640831899</v>
      </c>
    </row>
    <row r="10" spans="1:7" x14ac:dyDescent="0.25">
      <c r="A10" s="26">
        <v>8</v>
      </c>
      <c r="B10" s="27">
        <v>20</v>
      </c>
      <c r="F10" s="23">
        <v>3500</v>
      </c>
    </row>
    <row r="11" spans="1:7" ht="14.25" thickBot="1" x14ac:dyDescent="0.3">
      <c r="A11" s="26">
        <v>9</v>
      </c>
      <c r="B11" s="27">
        <v>20</v>
      </c>
    </row>
    <row r="12" spans="1:7" ht="14.25" thickBot="1" x14ac:dyDescent="0.3">
      <c r="A12" s="30">
        <v>10</v>
      </c>
      <c r="B12" s="31">
        <v>20</v>
      </c>
      <c r="F12" s="23">
        <v>-100000</v>
      </c>
      <c r="G12" s="25">
        <f>IRR(F12:F16)</f>
        <v>0.19426693253568539</v>
      </c>
    </row>
    <row r="13" spans="1:7" ht="14.25" thickBot="1" x14ac:dyDescent="0.3">
      <c r="F13" s="23">
        <v>65000</v>
      </c>
      <c r="G13" s="29">
        <f>NPV(0.15,F13:F15)+F12</f>
        <v>5671.0775047259085</v>
      </c>
    </row>
    <row r="14" spans="1:7" x14ac:dyDescent="0.25">
      <c r="F14" s="23">
        <v>65000</v>
      </c>
    </row>
  </sheetData>
  <pageMargins left="0.75" right="0.75" top="1" bottom="1" header="0" footer="0"/>
  <pageSetup paperSize="9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10" sqref="D10"/>
    </sheetView>
  </sheetViews>
  <sheetFormatPr baseColWidth="10" defaultRowHeight="15" x14ac:dyDescent="0.25"/>
  <cols>
    <col min="1" max="1" width="17.85546875" bestFit="1" customWidth="1"/>
    <col min="2" max="2" width="15" bestFit="1" customWidth="1"/>
    <col min="3" max="5" width="13.140625" bestFit="1" customWidth="1"/>
    <col min="6" max="7" width="14.140625" bestFit="1" customWidth="1"/>
    <col min="8" max="8" width="13.140625" bestFit="1" customWidth="1"/>
  </cols>
  <sheetData>
    <row r="1" spans="1:8" x14ac:dyDescent="0.25">
      <c r="A1" s="9" t="s">
        <v>0</v>
      </c>
      <c r="B1" s="1"/>
      <c r="C1" s="1"/>
      <c r="D1" s="1"/>
      <c r="E1" s="1"/>
      <c r="F1" s="1"/>
    </row>
    <row r="2" spans="1:8" x14ac:dyDescent="0.25">
      <c r="A2" s="1"/>
      <c r="B2" s="3">
        <v>0</v>
      </c>
      <c r="C2" s="3">
        <v>1</v>
      </c>
      <c r="D2" s="3">
        <v>2</v>
      </c>
      <c r="E2" s="3">
        <v>3</v>
      </c>
      <c r="F2" s="3">
        <v>4</v>
      </c>
    </row>
    <row r="3" spans="1:8" x14ac:dyDescent="0.25">
      <c r="A3" s="2" t="s">
        <v>1</v>
      </c>
      <c r="B3" s="5">
        <v>-300000</v>
      </c>
      <c r="C3" s="1"/>
      <c r="D3" s="1"/>
      <c r="E3" s="1"/>
      <c r="F3" s="1"/>
    </row>
    <row r="4" spans="1:8" x14ac:dyDescent="0.25">
      <c r="A4" s="2" t="s">
        <v>2</v>
      </c>
      <c r="B4" s="5"/>
      <c r="C4" s="2">
        <v>70000</v>
      </c>
      <c r="D4" s="2">
        <v>70000</v>
      </c>
      <c r="E4" s="2">
        <v>70000</v>
      </c>
      <c r="F4" s="2">
        <v>70000</v>
      </c>
    </row>
    <row r="5" spans="1:8" x14ac:dyDescent="0.25">
      <c r="A5" s="2" t="s">
        <v>3</v>
      </c>
      <c r="B5" s="5"/>
      <c r="C5" s="1"/>
      <c r="D5" s="1"/>
      <c r="E5" s="1"/>
      <c r="F5" s="2">
        <v>35000</v>
      </c>
    </row>
    <row r="6" spans="1:8" x14ac:dyDescent="0.25">
      <c r="A6" s="4" t="s">
        <v>4</v>
      </c>
      <c r="B6" s="6">
        <v>-300000</v>
      </c>
      <c r="C6" s="4">
        <v>70000</v>
      </c>
      <c r="D6" s="4">
        <v>70000</v>
      </c>
      <c r="E6" s="4">
        <v>70000</v>
      </c>
      <c r="F6" s="4">
        <f>+F4+F5</f>
        <v>105000</v>
      </c>
    </row>
    <row r="7" spans="1:8" x14ac:dyDescent="0.25">
      <c r="A7" s="4" t="s">
        <v>5</v>
      </c>
      <c r="B7" s="7">
        <v>0.15</v>
      </c>
      <c r="C7" s="1"/>
      <c r="D7" s="1"/>
      <c r="E7" s="1"/>
      <c r="F7" s="1"/>
    </row>
    <row r="8" spans="1:8" x14ac:dyDescent="0.25">
      <c r="A8" s="4" t="s">
        <v>6</v>
      </c>
      <c r="B8" s="12">
        <f>H12</f>
        <v>-80140.151014325937</v>
      </c>
      <c r="C8" s="66">
        <f>NPV(15%,C6:F6)+B3</f>
        <v>-80140.151014325966</v>
      </c>
      <c r="D8" s="66">
        <f>NPV(1.8551%,C6:F6)+B3</f>
        <v>-0.11316072364570573</v>
      </c>
      <c r="E8" s="1"/>
      <c r="F8" s="1"/>
    </row>
    <row r="9" spans="1:8" x14ac:dyDescent="0.25">
      <c r="A9" s="2" t="s">
        <v>7</v>
      </c>
      <c r="B9" s="8">
        <f>IRR(B6:F6)</f>
        <v>1.8550854586021126E-2</v>
      </c>
      <c r="C9" s="20">
        <f>IRR(B6:F6)</f>
        <v>1.8550854586021126E-2</v>
      </c>
      <c r="D9" s="1"/>
      <c r="E9" s="1"/>
      <c r="F9" s="1"/>
    </row>
    <row r="11" spans="1:8" x14ac:dyDescent="0.25">
      <c r="B11" t="s">
        <v>8</v>
      </c>
      <c r="H11" t="s">
        <v>9</v>
      </c>
    </row>
    <row r="12" spans="1:8" x14ac:dyDescent="0.25">
      <c r="C12" s="10">
        <f>C6/C13</f>
        <v>60869.565217391311</v>
      </c>
      <c r="D12" s="10">
        <f t="shared" ref="D12:F12" si="0">D6/D13</f>
        <v>52930.056710775054</v>
      </c>
      <c r="E12" s="10">
        <f t="shared" si="0"/>
        <v>46026.136270239185</v>
      </c>
      <c r="F12" s="10">
        <f t="shared" si="0"/>
        <v>60034.090787268506</v>
      </c>
      <c r="G12" s="11">
        <f>SUM(C12:F12)</f>
        <v>219859.84898567406</v>
      </c>
      <c r="H12" s="11">
        <f>B6+G12</f>
        <v>-80140.151014325937</v>
      </c>
    </row>
    <row r="13" spans="1:8" x14ac:dyDescent="0.25">
      <c r="C13">
        <f>POWER(1.15,1)</f>
        <v>1.1499999999999999</v>
      </c>
      <c r="D13">
        <f>POWER(1.15,2)</f>
        <v>1.3224999999999998</v>
      </c>
      <c r="E13">
        <f>POWER(1.15,3)</f>
        <v>1.5208749999999995</v>
      </c>
      <c r="F13">
        <f>POWER(1.15,4)</f>
        <v>1.7490062499999994</v>
      </c>
    </row>
    <row r="16" spans="1:8" x14ac:dyDescent="0.25">
      <c r="A16" s="2" t="s">
        <v>1</v>
      </c>
      <c r="B16" s="5">
        <v>-300000000</v>
      </c>
      <c r="C16" s="1"/>
      <c r="D16" s="1"/>
      <c r="E16" s="1"/>
      <c r="F16" s="1"/>
    </row>
    <row r="17" spans="1:8" x14ac:dyDescent="0.25">
      <c r="A17" s="2" t="s">
        <v>2</v>
      </c>
      <c r="B17" s="5"/>
      <c r="C17" s="14">
        <v>7000000</v>
      </c>
      <c r="D17" s="14">
        <v>7000000</v>
      </c>
      <c r="E17" s="14">
        <v>7000000</v>
      </c>
      <c r="F17" s="14">
        <v>7000000</v>
      </c>
    </row>
    <row r="18" spans="1:8" x14ac:dyDescent="0.25">
      <c r="A18" s="2" t="s">
        <v>3</v>
      </c>
      <c r="B18" s="5"/>
      <c r="C18" s="13"/>
      <c r="D18" s="13"/>
      <c r="E18" s="13"/>
      <c r="F18" s="14">
        <v>15000000</v>
      </c>
    </row>
    <row r="19" spans="1:8" x14ac:dyDescent="0.25">
      <c r="A19" s="4" t="s">
        <v>4</v>
      </c>
      <c r="B19" s="6">
        <v>-30000000</v>
      </c>
      <c r="C19" s="15">
        <v>7000000</v>
      </c>
      <c r="D19" s="15">
        <v>7000000</v>
      </c>
      <c r="E19" s="15">
        <v>7000000</v>
      </c>
      <c r="F19" s="15">
        <v>22000000</v>
      </c>
    </row>
    <row r="20" spans="1:8" x14ac:dyDescent="0.25">
      <c r="A20" s="4" t="s">
        <v>5</v>
      </c>
      <c r="B20" s="7">
        <v>0.15</v>
      </c>
      <c r="C20" s="1"/>
      <c r="D20" s="1"/>
      <c r="E20" s="1"/>
      <c r="F20" s="1"/>
    </row>
    <row r="21" spans="1:8" x14ac:dyDescent="0.25">
      <c r="A21" s="4" t="s">
        <v>6</v>
      </c>
      <c r="B21" s="6">
        <f>NPV(13.03,C19:F19)+B19</f>
        <v>-29462404.935901742</v>
      </c>
      <c r="C21" s="1"/>
      <c r="D21" s="1"/>
      <c r="E21" s="1"/>
      <c r="F21" s="1"/>
    </row>
    <row r="22" spans="1:8" x14ac:dyDescent="0.25">
      <c r="A22" s="2" t="s">
        <v>7</v>
      </c>
      <c r="B22" s="8">
        <f>IRR(B19:F19)</f>
        <v>0.13027815181048963</v>
      </c>
      <c r="C22" s="65">
        <f>IRR(B19:F19)</f>
        <v>0.13027815181048963</v>
      </c>
      <c r="D22" s="1"/>
      <c r="E22" s="1"/>
      <c r="F22" s="1"/>
    </row>
    <row r="24" spans="1:8" x14ac:dyDescent="0.25">
      <c r="B24" t="s">
        <v>8</v>
      </c>
      <c r="H24" t="s">
        <v>9</v>
      </c>
    </row>
    <row r="25" spans="1:8" x14ac:dyDescent="0.25">
      <c r="C25" s="10">
        <f>C19/C26</f>
        <v>6086956.5217391308</v>
      </c>
      <c r="D25" s="10">
        <f t="shared" ref="D25" si="1">D19/D26</f>
        <v>5293005.6710775057</v>
      </c>
      <c r="E25" s="10">
        <f t="shared" ref="E25" si="2">E19/E26</f>
        <v>4602613.6270239186</v>
      </c>
      <c r="F25" s="10">
        <f t="shared" ref="F25" si="3">F19/F26</f>
        <v>12578571.403046735</v>
      </c>
      <c r="G25" s="11">
        <f>SUM(C25:F25)</f>
        <v>28561147.222887293</v>
      </c>
      <c r="H25" s="11">
        <f>B19+G25</f>
        <v>-1438852.7771127075</v>
      </c>
    </row>
    <row r="26" spans="1:8" x14ac:dyDescent="0.25">
      <c r="C26">
        <f>POWER(1.15,1)</f>
        <v>1.1499999999999999</v>
      </c>
      <c r="D26">
        <f>POWER(1.15,2)</f>
        <v>1.3224999999999998</v>
      </c>
      <c r="E26">
        <f>POWER(1.15,3)</f>
        <v>1.5208749999999995</v>
      </c>
      <c r="F26">
        <f>POWER(1.15,4)</f>
        <v>1.7490062499999994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21" sqref="F21"/>
    </sheetView>
  </sheetViews>
  <sheetFormatPr baseColWidth="10" defaultRowHeight="15" x14ac:dyDescent="0.25"/>
  <cols>
    <col min="1" max="1" width="26.7109375" customWidth="1"/>
    <col min="2" max="2" width="8.5703125" customWidth="1"/>
    <col min="3" max="3" width="9.28515625" customWidth="1"/>
    <col min="4" max="4" width="9.5703125" customWidth="1"/>
    <col min="5" max="5" width="9.140625" customWidth="1"/>
    <col min="6" max="6" width="8.42578125" customWidth="1"/>
    <col min="7" max="7" width="8.5703125" customWidth="1"/>
    <col min="11" max="11" width="11.5703125" bestFit="1" customWidth="1"/>
  </cols>
  <sheetData>
    <row r="1" spans="1:11" x14ac:dyDescent="0.25">
      <c r="A1" s="18"/>
      <c r="B1" s="13"/>
      <c r="C1" s="13"/>
      <c r="D1" s="13"/>
      <c r="E1" s="13"/>
      <c r="F1" s="13"/>
    </row>
    <row r="2" spans="1:11" ht="15.75" thickBot="1" x14ac:dyDescent="0.3">
      <c r="A2" s="36" t="s">
        <v>13</v>
      </c>
    </row>
    <row r="3" spans="1:11" ht="15.75" thickBot="1" x14ac:dyDescent="0.3">
      <c r="A3" s="32" t="s">
        <v>14</v>
      </c>
      <c r="B3" s="32" t="s">
        <v>15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20</v>
      </c>
    </row>
    <row r="4" spans="1:11" ht="16.5" thickBot="1" x14ac:dyDescent="0.3">
      <c r="A4" s="33" t="s">
        <v>21</v>
      </c>
      <c r="B4" s="34"/>
      <c r="C4" s="35">
        <v>30</v>
      </c>
      <c r="D4" s="35">
        <v>150</v>
      </c>
      <c r="E4" s="35">
        <v>165</v>
      </c>
      <c r="F4" s="35">
        <v>90</v>
      </c>
      <c r="G4" s="35">
        <v>400</v>
      </c>
      <c r="I4" s="19"/>
    </row>
    <row r="5" spans="1:11" ht="16.5" thickBot="1" x14ac:dyDescent="0.3">
      <c r="A5" s="33" t="s">
        <v>22</v>
      </c>
      <c r="B5" s="34"/>
      <c r="C5" s="35">
        <v>100</v>
      </c>
      <c r="D5" s="35">
        <v>100</v>
      </c>
      <c r="E5" s="35">
        <v>100</v>
      </c>
      <c r="F5" s="35">
        <v>100</v>
      </c>
      <c r="G5" s="35">
        <v>100</v>
      </c>
    </row>
    <row r="6" spans="1:11" ht="27" thickBot="1" x14ac:dyDescent="0.3">
      <c r="A6" s="33" t="s">
        <v>23</v>
      </c>
      <c r="B6" s="34"/>
      <c r="C6" s="35">
        <v>40</v>
      </c>
      <c r="D6" s="35">
        <v>30</v>
      </c>
      <c r="E6" s="35">
        <v>20</v>
      </c>
      <c r="F6" s="35">
        <v>10</v>
      </c>
      <c r="G6" s="34"/>
    </row>
    <row r="7" spans="1:11" ht="16.5" thickBot="1" x14ac:dyDescent="0.3">
      <c r="A7" s="33" t="s">
        <v>24</v>
      </c>
      <c r="B7" s="34"/>
      <c r="C7" s="35">
        <v>30</v>
      </c>
      <c r="D7" s="35">
        <v>20</v>
      </c>
      <c r="E7" s="35">
        <v>15</v>
      </c>
      <c r="F7" s="34"/>
      <c r="G7" s="34"/>
    </row>
    <row r="8" spans="1:11" ht="16.5" thickBot="1" x14ac:dyDescent="0.3">
      <c r="A8" s="33" t="s">
        <v>25</v>
      </c>
      <c r="B8" s="35">
        <v>-1000</v>
      </c>
      <c r="C8" s="34"/>
      <c r="D8" s="34"/>
      <c r="E8" s="34"/>
      <c r="F8" s="34"/>
      <c r="G8" s="34"/>
    </row>
    <row r="9" spans="1:11" ht="15.75" thickBot="1" x14ac:dyDescent="0.3">
      <c r="A9" s="33" t="s">
        <v>26</v>
      </c>
      <c r="B9" s="35">
        <v>-1000</v>
      </c>
      <c r="C9" s="35">
        <v>200</v>
      </c>
      <c r="D9" s="35">
        <v>300</v>
      </c>
      <c r="E9" s="35">
        <v>300</v>
      </c>
      <c r="F9" s="35">
        <v>200</v>
      </c>
      <c r="G9" s="35">
        <v>500</v>
      </c>
    </row>
    <row r="10" spans="1:11" x14ac:dyDescent="0.25">
      <c r="K10" s="10"/>
    </row>
    <row r="11" spans="1:11" x14ac:dyDescent="0.25">
      <c r="B11" s="16"/>
      <c r="C11" s="10"/>
      <c r="D11" s="10"/>
      <c r="E11" s="10"/>
      <c r="F11" s="10"/>
      <c r="G11" s="11"/>
      <c r="H11" s="11"/>
      <c r="K11" s="10"/>
    </row>
    <row r="12" spans="1:11" x14ac:dyDescent="0.25">
      <c r="K12" s="10"/>
    </row>
    <row r="13" spans="1:11" ht="15.75" thickBot="1" x14ac:dyDescent="0.3">
      <c r="A13" s="36" t="s">
        <v>27</v>
      </c>
      <c r="K13" s="10"/>
    </row>
    <row r="14" spans="1:11" ht="15.75" thickBot="1" x14ac:dyDescent="0.3">
      <c r="A14" s="32" t="s">
        <v>14</v>
      </c>
      <c r="B14" s="32" t="s">
        <v>15</v>
      </c>
      <c r="C14" s="32" t="s">
        <v>16</v>
      </c>
      <c r="D14" s="32" t="s">
        <v>17</v>
      </c>
      <c r="E14" s="32" t="s">
        <v>18</v>
      </c>
      <c r="F14" s="32" t="s">
        <v>19</v>
      </c>
      <c r="G14" s="32" t="s">
        <v>20</v>
      </c>
      <c r="K14" s="10"/>
    </row>
    <row r="15" spans="1:11" ht="16.5" thickBot="1" x14ac:dyDescent="0.3">
      <c r="A15" s="33"/>
      <c r="B15" s="34"/>
      <c r="C15" s="35"/>
      <c r="D15" s="35"/>
      <c r="E15" s="35"/>
      <c r="F15" s="34"/>
      <c r="G15" s="34"/>
    </row>
    <row r="16" spans="1:11" ht="16.5" thickBot="1" x14ac:dyDescent="0.3">
      <c r="A16" s="33" t="s">
        <v>25</v>
      </c>
      <c r="B16" s="35">
        <v>-1000</v>
      </c>
      <c r="C16" s="34"/>
      <c r="D16" s="34"/>
      <c r="E16" s="34"/>
      <c r="F16" s="34"/>
      <c r="G16" s="34"/>
    </row>
    <row r="17" spans="1:8" ht="15.75" thickBot="1" x14ac:dyDescent="0.3">
      <c r="A17" s="33" t="s">
        <v>26</v>
      </c>
      <c r="B17" s="35">
        <v>-1000</v>
      </c>
      <c r="C17" s="35">
        <v>600</v>
      </c>
      <c r="D17" s="35">
        <v>300</v>
      </c>
      <c r="E17" s="35">
        <v>300</v>
      </c>
      <c r="F17" s="35">
        <v>200</v>
      </c>
      <c r="G17" s="35">
        <v>500</v>
      </c>
    </row>
    <row r="18" spans="1:8" x14ac:dyDescent="0.25">
      <c r="A18" s="15"/>
      <c r="B18" s="17"/>
      <c r="C18" s="13"/>
      <c r="D18" s="13"/>
      <c r="E18" s="13"/>
      <c r="F18" s="13"/>
    </row>
    <row r="19" spans="1:8" x14ac:dyDescent="0.25">
      <c r="A19" s="15"/>
      <c r="B19" s="12"/>
      <c r="C19" s="13"/>
      <c r="D19" s="13"/>
      <c r="E19" s="13"/>
      <c r="F19" s="13"/>
      <c r="G19" s="37">
        <v>0.33333333333333331</v>
      </c>
    </row>
    <row r="20" spans="1:8" x14ac:dyDescent="0.25">
      <c r="A20" s="14"/>
      <c r="B20" s="20"/>
      <c r="C20" s="13"/>
      <c r="D20" s="13"/>
      <c r="E20" s="13"/>
      <c r="F20" s="13"/>
    </row>
    <row r="23" spans="1:8" x14ac:dyDescent="0.25">
      <c r="C23" s="10"/>
      <c r="D23" s="10"/>
      <c r="E23" s="10"/>
      <c r="F23" s="10"/>
      <c r="G23" s="11"/>
      <c r="H23" s="11"/>
    </row>
    <row r="25" spans="1:8" x14ac:dyDescent="0.25">
      <c r="A25" s="14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8" sqref="G8"/>
    </sheetView>
  </sheetViews>
  <sheetFormatPr baseColWidth="10" defaultRowHeight="15" x14ac:dyDescent="0.25"/>
  <sheetData>
    <row r="1" spans="1:7" ht="25.5" x14ac:dyDescent="0.35">
      <c r="A1" s="38" t="s">
        <v>28</v>
      </c>
      <c r="B1" s="39"/>
    </row>
    <row r="2" spans="1:7" ht="25.5" x14ac:dyDescent="0.35">
      <c r="A2" s="40" t="s">
        <v>29</v>
      </c>
      <c r="B2" s="39"/>
    </row>
    <row r="3" spans="1:7" ht="22.5" x14ac:dyDescent="0.3">
      <c r="A3" s="41" t="s">
        <v>30</v>
      </c>
      <c r="B3" s="39"/>
      <c r="E3">
        <f>80140.15/300000</f>
        <v>0.26713383333333329</v>
      </c>
    </row>
    <row r="4" spans="1:7" ht="22.5" x14ac:dyDescent="0.3">
      <c r="A4" s="41" t="s">
        <v>31</v>
      </c>
      <c r="B4" s="39"/>
    </row>
    <row r="5" spans="1:7" ht="22.5" x14ac:dyDescent="0.3">
      <c r="A5" s="41" t="s">
        <v>32</v>
      </c>
      <c r="B5" s="39"/>
    </row>
    <row r="6" spans="1:7" x14ac:dyDescent="0.25">
      <c r="B6" s="39"/>
      <c r="G6">
        <v>288518.185</v>
      </c>
    </row>
    <row r="7" spans="1:7" ht="22.5" x14ac:dyDescent="0.3">
      <c r="A7" s="42" t="s">
        <v>33</v>
      </c>
      <c r="B7" s="39">
        <v>1.2670999999999999</v>
      </c>
      <c r="G7">
        <v>220000</v>
      </c>
    </row>
    <row r="8" spans="1:7" x14ac:dyDescent="0.25">
      <c r="A8" s="39"/>
      <c r="B8" s="39"/>
      <c r="G8">
        <f>+G6/G7</f>
        <v>1.3114462954545454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xcel.Sheet.8" shapeId="204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38100</xdr:rowOff>
              </from>
              <to>
                <xdr:col>11</xdr:col>
                <xdr:colOff>723900</xdr:colOff>
                <xdr:row>18</xdr:row>
                <xdr:rowOff>0</xdr:rowOff>
              </to>
            </anchor>
          </objectPr>
        </oleObject>
      </mc:Choice>
      <mc:Fallback>
        <oleObject progId="Excel.Sheet.8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8" sqref="B8"/>
    </sheetView>
  </sheetViews>
  <sheetFormatPr baseColWidth="10" defaultRowHeight="12.75" x14ac:dyDescent="0.2"/>
  <cols>
    <col min="1" max="1" width="18.42578125" style="43" bestFit="1" customWidth="1"/>
    <col min="2" max="4" width="11.42578125" style="43"/>
    <col min="5" max="5" width="18.42578125" style="43" bestFit="1" customWidth="1"/>
    <col min="6" max="256" width="11.42578125" style="43"/>
    <col min="257" max="257" width="18.42578125" style="43" bestFit="1" customWidth="1"/>
    <col min="258" max="260" width="11.42578125" style="43"/>
    <col min="261" max="261" width="18.42578125" style="43" bestFit="1" customWidth="1"/>
    <col min="262" max="512" width="11.42578125" style="43"/>
    <col min="513" max="513" width="18.42578125" style="43" bestFit="1" customWidth="1"/>
    <col min="514" max="516" width="11.42578125" style="43"/>
    <col min="517" max="517" width="18.42578125" style="43" bestFit="1" customWidth="1"/>
    <col min="518" max="768" width="11.42578125" style="43"/>
    <col min="769" max="769" width="18.42578125" style="43" bestFit="1" customWidth="1"/>
    <col min="770" max="772" width="11.42578125" style="43"/>
    <col min="773" max="773" width="18.42578125" style="43" bestFit="1" customWidth="1"/>
    <col min="774" max="1024" width="11.42578125" style="43"/>
    <col min="1025" max="1025" width="18.42578125" style="43" bestFit="1" customWidth="1"/>
    <col min="1026" max="1028" width="11.42578125" style="43"/>
    <col min="1029" max="1029" width="18.42578125" style="43" bestFit="1" customWidth="1"/>
    <col min="1030" max="1280" width="11.42578125" style="43"/>
    <col min="1281" max="1281" width="18.42578125" style="43" bestFit="1" customWidth="1"/>
    <col min="1282" max="1284" width="11.42578125" style="43"/>
    <col min="1285" max="1285" width="18.42578125" style="43" bestFit="1" customWidth="1"/>
    <col min="1286" max="1536" width="11.42578125" style="43"/>
    <col min="1537" max="1537" width="18.42578125" style="43" bestFit="1" customWidth="1"/>
    <col min="1538" max="1540" width="11.42578125" style="43"/>
    <col min="1541" max="1541" width="18.42578125" style="43" bestFit="1" customWidth="1"/>
    <col min="1542" max="1792" width="11.42578125" style="43"/>
    <col min="1793" max="1793" width="18.42578125" style="43" bestFit="1" customWidth="1"/>
    <col min="1794" max="1796" width="11.42578125" style="43"/>
    <col min="1797" max="1797" width="18.42578125" style="43" bestFit="1" customWidth="1"/>
    <col min="1798" max="2048" width="11.42578125" style="43"/>
    <col min="2049" max="2049" width="18.42578125" style="43" bestFit="1" customWidth="1"/>
    <col min="2050" max="2052" width="11.42578125" style="43"/>
    <col min="2053" max="2053" width="18.42578125" style="43" bestFit="1" customWidth="1"/>
    <col min="2054" max="2304" width="11.42578125" style="43"/>
    <col min="2305" max="2305" width="18.42578125" style="43" bestFit="1" customWidth="1"/>
    <col min="2306" max="2308" width="11.42578125" style="43"/>
    <col min="2309" max="2309" width="18.42578125" style="43" bestFit="1" customWidth="1"/>
    <col min="2310" max="2560" width="11.42578125" style="43"/>
    <col min="2561" max="2561" width="18.42578125" style="43" bestFit="1" customWidth="1"/>
    <col min="2562" max="2564" width="11.42578125" style="43"/>
    <col min="2565" max="2565" width="18.42578125" style="43" bestFit="1" customWidth="1"/>
    <col min="2566" max="2816" width="11.42578125" style="43"/>
    <col min="2817" max="2817" width="18.42578125" style="43" bestFit="1" customWidth="1"/>
    <col min="2818" max="2820" width="11.42578125" style="43"/>
    <col min="2821" max="2821" width="18.42578125" style="43" bestFit="1" customWidth="1"/>
    <col min="2822" max="3072" width="11.42578125" style="43"/>
    <col min="3073" max="3073" width="18.42578125" style="43" bestFit="1" customWidth="1"/>
    <col min="3074" max="3076" width="11.42578125" style="43"/>
    <col min="3077" max="3077" width="18.42578125" style="43" bestFit="1" customWidth="1"/>
    <col min="3078" max="3328" width="11.42578125" style="43"/>
    <col min="3329" max="3329" width="18.42578125" style="43" bestFit="1" customWidth="1"/>
    <col min="3330" max="3332" width="11.42578125" style="43"/>
    <col min="3333" max="3333" width="18.42578125" style="43" bestFit="1" customWidth="1"/>
    <col min="3334" max="3584" width="11.42578125" style="43"/>
    <col min="3585" max="3585" width="18.42578125" style="43" bestFit="1" customWidth="1"/>
    <col min="3586" max="3588" width="11.42578125" style="43"/>
    <col min="3589" max="3589" width="18.42578125" style="43" bestFit="1" customWidth="1"/>
    <col min="3590" max="3840" width="11.42578125" style="43"/>
    <col min="3841" max="3841" width="18.42578125" style="43" bestFit="1" customWidth="1"/>
    <col min="3842" max="3844" width="11.42578125" style="43"/>
    <col min="3845" max="3845" width="18.42578125" style="43" bestFit="1" customWidth="1"/>
    <col min="3846" max="4096" width="11.42578125" style="43"/>
    <col min="4097" max="4097" width="18.42578125" style="43" bestFit="1" customWidth="1"/>
    <col min="4098" max="4100" width="11.42578125" style="43"/>
    <col min="4101" max="4101" width="18.42578125" style="43" bestFit="1" customWidth="1"/>
    <col min="4102" max="4352" width="11.42578125" style="43"/>
    <col min="4353" max="4353" width="18.42578125" style="43" bestFit="1" customWidth="1"/>
    <col min="4354" max="4356" width="11.42578125" style="43"/>
    <col min="4357" max="4357" width="18.42578125" style="43" bestFit="1" customWidth="1"/>
    <col min="4358" max="4608" width="11.42578125" style="43"/>
    <col min="4609" max="4609" width="18.42578125" style="43" bestFit="1" customWidth="1"/>
    <col min="4610" max="4612" width="11.42578125" style="43"/>
    <col min="4613" max="4613" width="18.42578125" style="43" bestFit="1" customWidth="1"/>
    <col min="4614" max="4864" width="11.42578125" style="43"/>
    <col min="4865" max="4865" width="18.42578125" style="43" bestFit="1" customWidth="1"/>
    <col min="4866" max="4868" width="11.42578125" style="43"/>
    <col min="4869" max="4869" width="18.42578125" style="43" bestFit="1" customWidth="1"/>
    <col min="4870" max="5120" width="11.42578125" style="43"/>
    <col min="5121" max="5121" width="18.42578125" style="43" bestFit="1" customWidth="1"/>
    <col min="5122" max="5124" width="11.42578125" style="43"/>
    <col min="5125" max="5125" width="18.42578125" style="43" bestFit="1" customWidth="1"/>
    <col min="5126" max="5376" width="11.42578125" style="43"/>
    <col min="5377" max="5377" width="18.42578125" style="43" bestFit="1" customWidth="1"/>
    <col min="5378" max="5380" width="11.42578125" style="43"/>
    <col min="5381" max="5381" width="18.42578125" style="43" bestFit="1" customWidth="1"/>
    <col min="5382" max="5632" width="11.42578125" style="43"/>
    <col min="5633" max="5633" width="18.42578125" style="43" bestFit="1" customWidth="1"/>
    <col min="5634" max="5636" width="11.42578125" style="43"/>
    <col min="5637" max="5637" width="18.42578125" style="43" bestFit="1" customWidth="1"/>
    <col min="5638" max="5888" width="11.42578125" style="43"/>
    <col min="5889" max="5889" width="18.42578125" style="43" bestFit="1" customWidth="1"/>
    <col min="5890" max="5892" width="11.42578125" style="43"/>
    <col min="5893" max="5893" width="18.42578125" style="43" bestFit="1" customWidth="1"/>
    <col min="5894" max="6144" width="11.42578125" style="43"/>
    <col min="6145" max="6145" width="18.42578125" style="43" bestFit="1" customWidth="1"/>
    <col min="6146" max="6148" width="11.42578125" style="43"/>
    <col min="6149" max="6149" width="18.42578125" style="43" bestFit="1" customWidth="1"/>
    <col min="6150" max="6400" width="11.42578125" style="43"/>
    <col min="6401" max="6401" width="18.42578125" style="43" bestFit="1" customWidth="1"/>
    <col min="6402" max="6404" width="11.42578125" style="43"/>
    <col min="6405" max="6405" width="18.42578125" style="43" bestFit="1" customWidth="1"/>
    <col min="6406" max="6656" width="11.42578125" style="43"/>
    <col min="6657" max="6657" width="18.42578125" style="43" bestFit="1" customWidth="1"/>
    <col min="6658" max="6660" width="11.42578125" style="43"/>
    <col min="6661" max="6661" width="18.42578125" style="43" bestFit="1" customWidth="1"/>
    <col min="6662" max="6912" width="11.42578125" style="43"/>
    <col min="6913" max="6913" width="18.42578125" style="43" bestFit="1" customWidth="1"/>
    <col min="6914" max="6916" width="11.42578125" style="43"/>
    <col min="6917" max="6917" width="18.42578125" style="43" bestFit="1" customWidth="1"/>
    <col min="6918" max="7168" width="11.42578125" style="43"/>
    <col min="7169" max="7169" width="18.42578125" style="43" bestFit="1" customWidth="1"/>
    <col min="7170" max="7172" width="11.42578125" style="43"/>
    <col min="7173" max="7173" width="18.42578125" style="43" bestFit="1" customWidth="1"/>
    <col min="7174" max="7424" width="11.42578125" style="43"/>
    <col min="7425" max="7425" width="18.42578125" style="43" bestFit="1" customWidth="1"/>
    <col min="7426" max="7428" width="11.42578125" style="43"/>
    <col min="7429" max="7429" width="18.42578125" style="43" bestFit="1" customWidth="1"/>
    <col min="7430" max="7680" width="11.42578125" style="43"/>
    <col min="7681" max="7681" width="18.42578125" style="43" bestFit="1" customWidth="1"/>
    <col min="7682" max="7684" width="11.42578125" style="43"/>
    <col min="7685" max="7685" width="18.42578125" style="43" bestFit="1" customWidth="1"/>
    <col min="7686" max="7936" width="11.42578125" style="43"/>
    <col min="7937" max="7937" width="18.42578125" style="43" bestFit="1" customWidth="1"/>
    <col min="7938" max="7940" width="11.42578125" style="43"/>
    <col min="7941" max="7941" width="18.42578125" style="43" bestFit="1" customWidth="1"/>
    <col min="7942" max="8192" width="11.42578125" style="43"/>
    <col min="8193" max="8193" width="18.42578125" style="43" bestFit="1" customWidth="1"/>
    <col min="8194" max="8196" width="11.42578125" style="43"/>
    <col min="8197" max="8197" width="18.42578125" style="43" bestFit="1" customWidth="1"/>
    <col min="8198" max="8448" width="11.42578125" style="43"/>
    <col min="8449" max="8449" width="18.42578125" style="43" bestFit="1" customWidth="1"/>
    <col min="8450" max="8452" width="11.42578125" style="43"/>
    <col min="8453" max="8453" width="18.42578125" style="43" bestFit="1" customWidth="1"/>
    <col min="8454" max="8704" width="11.42578125" style="43"/>
    <col min="8705" max="8705" width="18.42578125" style="43" bestFit="1" customWidth="1"/>
    <col min="8706" max="8708" width="11.42578125" style="43"/>
    <col min="8709" max="8709" width="18.42578125" style="43" bestFit="1" customWidth="1"/>
    <col min="8710" max="8960" width="11.42578125" style="43"/>
    <col min="8961" max="8961" width="18.42578125" style="43" bestFit="1" customWidth="1"/>
    <col min="8962" max="8964" width="11.42578125" style="43"/>
    <col min="8965" max="8965" width="18.42578125" style="43" bestFit="1" customWidth="1"/>
    <col min="8966" max="9216" width="11.42578125" style="43"/>
    <col min="9217" max="9217" width="18.42578125" style="43" bestFit="1" customWidth="1"/>
    <col min="9218" max="9220" width="11.42578125" style="43"/>
    <col min="9221" max="9221" width="18.42578125" style="43" bestFit="1" customWidth="1"/>
    <col min="9222" max="9472" width="11.42578125" style="43"/>
    <col min="9473" max="9473" width="18.42578125" style="43" bestFit="1" customWidth="1"/>
    <col min="9474" max="9476" width="11.42578125" style="43"/>
    <col min="9477" max="9477" width="18.42578125" style="43" bestFit="1" customWidth="1"/>
    <col min="9478" max="9728" width="11.42578125" style="43"/>
    <col min="9729" max="9729" width="18.42578125" style="43" bestFit="1" customWidth="1"/>
    <col min="9730" max="9732" width="11.42578125" style="43"/>
    <col min="9733" max="9733" width="18.42578125" style="43" bestFit="1" customWidth="1"/>
    <col min="9734" max="9984" width="11.42578125" style="43"/>
    <col min="9985" max="9985" width="18.42578125" style="43" bestFit="1" customWidth="1"/>
    <col min="9986" max="9988" width="11.42578125" style="43"/>
    <col min="9989" max="9989" width="18.42578125" style="43" bestFit="1" customWidth="1"/>
    <col min="9990" max="10240" width="11.42578125" style="43"/>
    <col min="10241" max="10241" width="18.42578125" style="43" bestFit="1" customWidth="1"/>
    <col min="10242" max="10244" width="11.42578125" style="43"/>
    <col min="10245" max="10245" width="18.42578125" style="43" bestFit="1" customWidth="1"/>
    <col min="10246" max="10496" width="11.42578125" style="43"/>
    <col min="10497" max="10497" width="18.42578125" style="43" bestFit="1" customWidth="1"/>
    <col min="10498" max="10500" width="11.42578125" style="43"/>
    <col min="10501" max="10501" width="18.42578125" style="43" bestFit="1" customWidth="1"/>
    <col min="10502" max="10752" width="11.42578125" style="43"/>
    <col min="10753" max="10753" width="18.42578125" style="43" bestFit="1" customWidth="1"/>
    <col min="10754" max="10756" width="11.42578125" style="43"/>
    <col min="10757" max="10757" width="18.42578125" style="43" bestFit="1" customWidth="1"/>
    <col min="10758" max="11008" width="11.42578125" style="43"/>
    <col min="11009" max="11009" width="18.42578125" style="43" bestFit="1" customWidth="1"/>
    <col min="11010" max="11012" width="11.42578125" style="43"/>
    <col min="11013" max="11013" width="18.42578125" style="43" bestFit="1" customWidth="1"/>
    <col min="11014" max="11264" width="11.42578125" style="43"/>
    <col min="11265" max="11265" width="18.42578125" style="43" bestFit="1" customWidth="1"/>
    <col min="11266" max="11268" width="11.42578125" style="43"/>
    <col min="11269" max="11269" width="18.42578125" style="43" bestFit="1" customWidth="1"/>
    <col min="11270" max="11520" width="11.42578125" style="43"/>
    <col min="11521" max="11521" width="18.42578125" style="43" bestFit="1" customWidth="1"/>
    <col min="11522" max="11524" width="11.42578125" style="43"/>
    <col min="11525" max="11525" width="18.42578125" style="43" bestFit="1" customWidth="1"/>
    <col min="11526" max="11776" width="11.42578125" style="43"/>
    <col min="11777" max="11777" width="18.42578125" style="43" bestFit="1" customWidth="1"/>
    <col min="11778" max="11780" width="11.42578125" style="43"/>
    <col min="11781" max="11781" width="18.42578125" style="43" bestFit="1" customWidth="1"/>
    <col min="11782" max="12032" width="11.42578125" style="43"/>
    <col min="12033" max="12033" width="18.42578125" style="43" bestFit="1" customWidth="1"/>
    <col min="12034" max="12036" width="11.42578125" style="43"/>
    <col min="12037" max="12037" width="18.42578125" style="43" bestFit="1" customWidth="1"/>
    <col min="12038" max="12288" width="11.42578125" style="43"/>
    <col min="12289" max="12289" width="18.42578125" style="43" bestFit="1" customWidth="1"/>
    <col min="12290" max="12292" width="11.42578125" style="43"/>
    <col min="12293" max="12293" width="18.42578125" style="43" bestFit="1" customWidth="1"/>
    <col min="12294" max="12544" width="11.42578125" style="43"/>
    <col min="12545" max="12545" width="18.42578125" style="43" bestFit="1" customWidth="1"/>
    <col min="12546" max="12548" width="11.42578125" style="43"/>
    <col min="12549" max="12549" width="18.42578125" style="43" bestFit="1" customWidth="1"/>
    <col min="12550" max="12800" width="11.42578125" style="43"/>
    <col min="12801" max="12801" width="18.42578125" style="43" bestFit="1" customWidth="1"/>
    <col min="12802" max="12804" width="11.42578125" style="43"/>
    <col min="12805" max="12805" width="18.42578125" style="43" bestFit="1" customWidth="1"/>
    <col min="12806" max="13056" width="11.42578125" style="43"/>
    <col min="13057" max="13057" width="18.42578125" style="43" bestFit="1" customWidth="1"/>
    <col min="13058" max="13060" width="11.42578125" style="43"/>
    <col min="13061" max="13061" width="18.42578125" style="43" bestFit="1" customWidth="1"/>
    <col min="13062" max="13312" width="11.42578125" style="43"/>
    <col min="13313" max="13313" width="18.42578125" style="43" bestFit="1" customWidth="1"/>
    <col min="13314" max="13316" width="11.42578125" style="43"/>
    <col min="13317" max="13317" width="18.42578125" style="43" bestFit="1" customWidth="1"/>
    <col min="13318" max="13568" width="11.42578125" style="43"/>
    <col min="13569" max="13569" width="18.42578125" style="43" bestFit="1" customWidth="1"/>
    <col min="13570" max="13572" width="11.42578125" style="43"/>
    <col min="13573" max="13573" width="18.42578125" style="43" bestFit="1" customWidth="1"/>
    <col min="13574" max="13824" width="11.42578125" style="43"/>
    <col min="13825" max="13825" width="18.42578125" style="43" bestFit="1" customWidth="1"/>
    <col min="13826" max="13828" width="11.42578125" style="43"/>
    <col min="13829" max="13829" width="18.42578125" style="43" bestFit="1" customWidth="1"/>
    <col min="13830" max="14080" width="11.42578125" style="43"/>
    <col min="14081" max="14081" width="18.42578125" style="43" bestFit="1" customWidth="1"/>
    <col min="14082" max="14084" width="11.42578125" style="43"/>
    <col min="14085" max="14085" width="18.42578125" style="43" bestFit="1" customWidth="1"/>
    <col min="14086" max="14336" width="11.42578125" style="43"/>
    <col min="14337" max="14337" width="18.42578125" style="43" bestFit="1" customWidth="1"/>
    <col min="14338" max="14340" width="11.42578125" style="43"/>
    <col min="14341" max="14341" width="18.42578125" style="43" bestFit="1" customWidth="1"/>
    <col min="14342" max="14592" width="11.42578125" style="43"/>
    <col min="14593" max="14593" width="18.42578125" style="43" bestFit="1" customWidth="1"/>
    <col min="14594" max="14596" width="11.42578125" style="43"/>
    <col min="14597" max="14597" width="18.42578125" style="43" bestFit="1" customWidth="1"/>
    <col min="14598" max="14848" width="11.42578125" style="43"/>
    <col min="14849" max="14849" width="18.42578125" style="43" bestFit="1" customWidth="1"/>
    <col min="14850" max="14852" width="11.42578125" style="43"/>
    <col min="14853" max="14853" width="18.42578125" style="43" bestFit="1" customWidth="1"/>
    <col min="14854" max="15104" width="11.42578125" style="43"/>
    <col min="15105" max="15105" width="18.42578125" style="43" bestFit="1" customWidth="1"/>
    <col min="15106" max="15108" width="11.42578125" style="43"/>
    <col min="15109" max="15109" width="18.42578125" style="43" bestFit="1" customWidth="1"/>
    <col min="15110" max="15360" width="11.42578125" style="43"/>
    <col min="15361" max="15361" width="18.42578125" style="43" bestFit="1" customWidth="1"/>
    <col min="15362" max="15364" width="11.42578125" style="43"/>
    <col min="15365" max="15365" width="18.42578125" style="43" bestFit="1" customWidth="1"/>
    <col min="15366" max="15616" width="11.42578125" style="43"/>
    <col min="15617" max="15617" width="18.42578125" style="43" bestFit="1" customWidth="1"/>
    <col min="15618" max="15620" width="11.42578125" style="43"/>
    <col min="15621" max="15621" width="18.42578125" style="43" bestFit="1" customWidth="1"/>
    <col min="15622" max="15872" width="11.42578125" style="43"/>
    <col min="15873" max="15873" width="18.42578125" style="43" bestFit="1" customWidth="1"/>
    <col min="15874" max="15876" width="11.42578125" style="43"/>
    <col min="15877" max="15877" width="18.42578125" style="43" bestFit="1" customWidth="1"/>
    <col min="15878" max="16128" width="11.42578125" style="43"/>
    <col min="16129" max="16129" width="18.42578125" style="43" bestFit="1" customWidth="1"/>
    <col min="16130" max="16132" width="11.42578125" style="43"/>
    <col min="16133" max="16133" width="18.42578125" style="43" bestFit="1" customWidth="1"/>
    <col min="16134" max="16384" width="11.42578125" style="43"/>
  </cols>
  <sheetData>
    <row r="1" spans="1:8" x14ac:dyDescent="0.2">
      <c r="A1" s="43" t="s">
        <v>34</v>
      </c>
      <c r="B1" s="44">
        <v>0.12</v>
      </c>
      <c r="E1" s="43" t="s">
        <v>34</v>
      </c>
      <c r="F1" s="44">
        <v>0.12</v>
      </c>
    </row>
    <row r="2" spans="1:8" x14ac:dyDescent="0.2">
      <c r="A2" s="43" t="s">
        <v>35</v>
      </c>
      <c r="B2" s="45">
        <v>-25000</v>
      </c>
      <c r="C2" s="45">
        <v>0</v>
      </c>
      <c r="D2" s="45">
        <v>32490</v>
      </c>
      <c r="E2" s="43" t="s">
        <v>35</v>
      </c>
      <c r="F2" s="45">
        <v>-25000</v>
      </c>
      <c r="G2" s="45">
        <v>0</v>
      </c>
      <c r="H2" s="45">
        <v>32490</v>
      </c>
    </row>
    <row r="3" spans="1:8" x14ac:dyDescent="0.2">
      <c r="A3" s="43" t="s">
        <v>7</v>
      </c>
      <c r="B3" s="46">
        <f>IRR(B2:D2)</f>
        <v>0.13999999999997259</v>
      </c>
      <c r="C3" s="45"/>
      <c r="D3" s="45"/>
      <c r="E3" s="43" t="s">
        <v>7</v>
      </c>
      <c r="F3" s="46">
        <f>IRR(F2:H2)</f>
        <v>0.13999999999997259</v>
      </c>
      <c r="G3" s="45"/>
      <c r="H3" s="45"/>
    </row>
    <row r="4" spans="1:8" x14ac:dyDescent="0.2">
      <c r="A4" s="43" t="s">
        <v>6</v>
      </c>
      <c r="B4" s="47">
        <f>NPV(B1,B2:D2)</f>
        <v>804.3116800291499</v>
      </c>
      <c r="E4" s="43" t="s">
        <v>6</v>
      </c>
      <c r="F4" s="47">
        <f>NPV(F1,F2:H2)</f>
        <v>804.3116800291499</v>
      </c>
    </row>
    <row r="5" spans="1:8" x14ac:dyDescent="0.2">
      <c r="B5" s="46"/>
      <c r="E5" s="43" t="s">
        <v>36</v>
      </c>
      <c r="F5" s="46">
        <f>MIRR(F2:H2,F1,0.12)</f>
        <v>0.14000000000000012</v>
      </c>
    </row>
    <row r="6" spans="1:8" x14ac:dyDescent="0.2">
      <c r="A6" s="43" t="s">
        <v>37</v>
      </c>
      <c r="B6" s="45">
        <v>-72727</v>
      </c>
      <c r="C6" s="45">
        <v>170909</v>
      </c>
      <c r="D6" s="45">
        <v>-100000</v>
      </c>
      <c r="E6" s="43" t="s">
        <v>37</v>
      </c>
      <c r="F6" s="45">
        <v>-72727</v>
      </c>
      <c r="G6" s="45">
        <v>0</v>
      </c>
      <c r="H6" s="45">
        <f>-100000+C6*(1+B1)</f>
        <v>91418.080000000016</v>
      </c>
    </row>
    <row r="7" spans="1:8" x14ac:dyDescent="0.2">
      <c r="A7" s="43" t="s">
        <v>7</v>
      </c>
      <c r="B7" s="46">
        <f>IRR(B6:D6)</f>
        <v>9.9978920612628697E-2</v>
      </c>
      <c r="C7" s="45"/>
      <c r="D7" s="45"/>
      <c r="E7" s="43" t="s">
        <v>7</v>
      </c>
      <c r="F7" s="46">
        <f>IRR(F6:H6)</f>
        <v>0.12116159128041226</v>
      </c>
      <c r="G7" s="45"/>
      <c r="H7" s="45"/>
    </row>
    <row r="8" spans="1:8" x14ac:dyDescent="0.2">
      <c r="A8" s="43" t="s">
        <v>6</v>
      </c>
      <c r="B8" s="47">
        <f>NPV(B1,B6:D6)</f>
        <v>134.76220845481552</v>
      </c>
      <c r="E8" s="43" t="s">
        <v>6</v>
      </c>
      <c r="F8" s="47">
        <f>NPV(F1,F6:H6)</f>
        <v>134.76220845481552</v>
      </c>
    </row>
    <row r="9" spans="1:8" x14ac:dyDescent="0.2">
      <c r="B9" s="46"/>
      <c r="E9" s="43" t="s">
        <v>36</v>
      </c>
      <c r="F9" s="46">
        <f>MIRR(F6:H6,F1,0.12)</f>
        <v>0.12116159128041271</v>
      </c>
    </row>
    <row r="11" spans="1:8" x14ac:dyDescent="0.2">
      <c r="A11" s="48" t="s">
        <v>38</v>
      </c>
      <c r="B11" s="48" t="s">
        <v>39</v>
      </c>
      <c r="C11" s="48" t="s">
        <v>40</v>
      </c>
    </row>
    <row r="12" spans="1:8" x14ac:dyDescent="0.2">
      <c r="A12" s="49">
        <v>0.08</v>
      </c>
      <c r="B12" s="45">
        <f t="shared" ref="B12:B23" si="0">NPV(A12,$B$2:$D$2)</f>
        <v>2643.4613625971633</v>
      </c>
      <c r="C12" s="45">
        <f t="shared" ref="C12:C23" si="1">NPV(A12,$B$6:$D$6)</f>
        <v>-196.11847787429588</v>
      </c>
    </row>
    <row r="13" spans="1:8" x14ac:dyDescent="0.2">
      <c r="A13" s="49">
        <f t="shared" ref="A13:A23" si="2">A12+0.015</f>
        <v>9.5000000000000001E-2</v>
      </c>
      <c r="B13" s="45">
        <f t="shared" si="0"/>
        <v>1915.0834025248237</v>
      </c>
      <c r="C13" s="45">
        <f t="shared" si="1"/>
        <v>-42.75633388961193</v>
      </c>
    </row>
    <row r="14" spans="1:8" x14ac:dyDescent="0.2">
      <c r="A14" s="49">
        <f t="shared" si="2"/>
        <v>0.11</v>
      </c>
      <c r="B14" s="45">
        <f t="shared" si="0"/>
        <v>1233.8854559453498</v>
      </c>
      <c r="C14" s="45">
        <f t="shared" si="1"/>
        <v>74.620493393334201</v>
      </c>
    </row>
    <row r="15" spans="1:8" x14ac:dyDescent="0.2">
      <c r="A15" s="49">
        <f t="shared" si="2"/>
        <v>0.125</v>
      </c>
      <c r="B15" s="45">
        <f t="shared" si="0"/>
        <v>596.54320987654182</v>
      </c>
      <c r="C15" s="45">
        <f t="shared" si="1"/>
        <v>159.79149519891428</v>
      </c>
    </row>
    <row r="16" spans="1:8" x14ac:dyDescent="0.2">
      <c r="A16" s="49">
        <f t="shared" si="2"/>
        <v>0.14000000000000001</v>
      </c>
      <c r="B16" s="45">
        <f t="shared" si="0"/>
        <v>-6.3824189598100224E-12</v>
      </c>
      <c r="C16" s="45">
        <f t="shared" si="1"/>
        <v>216.16016804091802</v>
      </c>
    </row>
    <row r="17" spans="1:3" x14ac:dyDescent="0.2">
      <c r="A17" s="49">
        <f t="shared" si="2"/>
        <v>0.15500000000000003</v>
      </c>
      <c r="B17" s="45">
        <f t="shared" si="0"/>
        <v>-558.55765081604113</v>
      </c>
      <c r="C17" s="45">
        <f t="shared" si="1"/>
        <v>246.79329091539651</v>
      </c>
    </row>
    <row r="18" spans="1:3" x14ac:dyDescent="0.2">
      <c r="A18" s="49">
        <f t="shared" si="2"/>
        <v>0.17000000000000004</v>
      </c>
      <c r="B18" s="45">
        <f t="shared" si="0"/>
        <v>-1081.721989019816</v>
      </c>
      <c r="C18" s="45">
        <f t="shared" si="1"/>
        <v>254.45578925743897</v>
      </c>
    </row>
    <row r="19" spans="1:3" x14ac:dyDescent="0.2">
      <c r="A19" s="49">
        <f t="shared" si="2"/>
        <v>0.18500000000000005</v>
      </c>
      <c r="B19" s="45">
        <f t="shared" si="0"/>
        <v>-1571.8837657872909</v>
      </c>
      <c r="C19" s="45">
        <f t="shared" si="1"/>
        <v>241.64172122812482</v>
      </c>
    </row>
    <row r="20" spans="1:3" x14ac:dyDescent="0.2">
      <c r="A20" s="49">
        <f t="shared" si="2"/>
        <v>0.20000000000000007</v>
      </c>
      <c r="B20" s="45">
        <f t="shared" si="0"/>
        <v>-2031.2500000000057</v>
      </c>
      <c r="C20" s="45">
        <f t="shared" si="1"/>
        <v>210.60185185186126</v>
      </c>
    </row>
    <row r="21" spans="1:3" x14ac:dyDescent="0.2">
      <c r="A21" s="49">
        <f t="shared" si="2"/>
        <v>0.21500000000000008</v>
      </c>
      <c r="B21" s="45">
        <f t="shared" si="0"/>
        <v>-2461.8599869662557</v>
      </c>
      <c r="C21" s="45">
        <f t="shared" si="1"/>
        <v>163.3682203111301</v>
      </c>
    </row>
    <row r="22" spans="1:3" x14ac:dyDescent="0.2">
      <c r="A22" s="49">
        <f t="shared" si="2"/>
        <v>0.23000000000000009</v>
      </c>
      <c r="B22" s="45">
        <f t="shared" si="0"/>
        <v>-2865.5997446351612</v>
      </c>
      <c r="C22" s="45">
        <f t="shared" si="1"/>
        <v>101.77605385015192</v>
      </c>
    </row>
    <row r="23" spans="1:3" x14ac:dyDescent="0.2">
      <c r="A23" s="49">
        <f t="shared" si="2"/>
        <v>0.24500000000000011</v>
      </c>
      <c r="B23" s="45">
        <f t="shared" si="0"/>
        <v>-3244.2150660997909</v>
      </c>
      <c r="C23" s="45">
        <f t="shared" si="1"/>
        <v>27.48333700278252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abSelected="1" zoomScale="90" zoomScaleNormal="90" workbookViewId="0">
      <selection activeCell="B10" sqref="B10"/>
    </sheetView>
  </sheetViews>
  <sheetFormatPr baseColWidth="10" defaultRowHeight="12.75" x14ac:dyDescent="0.2"/>
  <cols>
    <col min="1" max="1" width="30.5703125" style="43" bestFit="1" customWidth="1"/>
    <col min="2" max="2" width="14.140625" style="43" customWidth="1"/>
    <col min="3" max="3" width="13.7109375" style="43" customWidth="1"/>
    <col min="4" max="7" width="12.140625" style="43" bestFit="1" customWidth="1"/>
    <col min="8" max="256" width="11.42578125" style="43"/>
    <col min="257" max="257" width="30.5703125" style="43" bestFit="1" customWidth="1"/>
    <col min="258" max="263" width="12.140625" style="43" bestFit="1" customWidth="1"/>
    <col min="264" max="512" width="11.42578125" style="43"/>
    <col min="513" max="513" width="30.5703125" style="43" bestFit="1" customWidth="1"/>
    <col min="514" max="519" width="12.140625" style="43" bestFit="1" customWidth="1"/>
    <col min="520" max="768" width="11.42578125" style="43"/>
    <col min="769" max="769" width="30.5703125" style="43" bestFit="1" customWidth="1"/>
    <col min="770" max="775" width="12.140625" style="43" bestFit="1" customWidth="1"/>
    <col min="776" max="1024" width="11.42578125" style="43"/>
    <col min="1025" max="1025" width="30.5703125" style="43" bestFit="1" customWidth="1"/>
    <col min="1026" max="1031" width="12.140625" style="43" bestFit="1" customWidth="1"/>
    <col min="1032" max="1280" width="11.42578125" style="43"/>
    <col min="1281" max="1281" width="30.5703125" style="43" bestFit="1" customWidth="1"/>
    <col min="1282" max="1287" width="12.140625" style="43" bestFit="1" customWidth="1"/>
    <col min="1288" max="1536" width="11.42578125" style="43"/>
    <col min="1537" max="1537" width="30.5703125" style="43" bestFit="1" customWidth="1"/>
    <col min="1538" max="1543" width="12.140625" style="43" bestFit="1" customWidth="1"/>
    <col min="1544" max="1792" width="11.42578125" style="43"/>
    <col min="1793" max="1793" width="30.5703125" style="43" bestFit="1" customWidth="1"/>
    <col min="1794" max="1799" width="12.140625" style="43" bestFit="1" customWidth="1"/>
    <col min="1800" max="2048" width="11.42578125" style="43"/>
    <col min="2049" max="2049" width="30.5703125" style="43" bestFit="1" customWidth="1"/>
    <col min="2050" max="2055" width="12.140625" style="43" bestFit="1" customWidth="1"/>
    <col min="2056" max="2304" width="11.42578125" style="43"/>
    <col min="2305" max="2305" width="30.5703125" style="43" bestFit="1" customWidth="1"/>
    <col min="2306" max="2311" width="12.140625" style="43" bestFit="1" customWidth="1"/>
    <col min="2312" max="2560" width="11.42578125" style="43"/>
    <col min="2561" max="2561" width="30.5703125" style="43" bestFit="1" customWidth="1"/>
    <col min="2562" max="2567" width="12.140625" style="43" bestFit="1" customWidth="1"/>
    <col min="2568" max="2816" width="11.42578125" style="43"/>
    <col min="2817" max="2817" width="30.5703125" style="43" bestFit="1" customWidth="1"/>
    <col min="2818" max="2823" width="12.140625" style="43" bestFit="1" customWidth="1"/>
    <col min="2824" max="3072" width="11.42578125" style="43"/>
    <col min="3073" max="3073" width="30.5703125" style="43" bestFit="1" customWidth="1"/>
    <col min="3074" max="3079" width="12.140625" style="43" bestFit="1" customWidth="1"/>
    <col min="3080" max="3328" width="11.42578125" style="43"/>
    <col min="3329" max="3329" width="30.5703125" style="43" bestFit="1" customWidth="1"/>
    <col min="3330" max="3335" width="12.140625" style="43" bestFit="1" customWidth="1"/>
    <col min="3336" max="3584" width="11.42578125" style="43"/>
    <col min="3585" max="3585" width="30.5703125" style="43" bestFit="1" customWidth="1"/>
    <col min="3586" max="3591" width="12.140625" style="43" bestFit="1" customWidth="1"/>
    <col min="3592" max="3840" width="11.42578125" style="43"/>
    <col min="3841" max="3841" width="30.5703125" style="43" bestFit="1" customWidth="1"/>
    <col min="3842" max="3847" width="12.140625" style="43" bestFit="1" customWidth="1"/>
    <col min="3848" max="4096" width="11.42578125" style="43"/>
    <col min="4097" max="4097" width="30.5703125" style="43" bestFit="1" customWidth="1"/>
    <col min="4098" max="4103" width="12.140625" style="43" bestFit="1" customWidth="1"/>
    <col min="4104" max="4352" width="11.42578125" style="43"/>
    <col min="4353" max="4353" width="30.5703125" style="43" bestFit="1" customWidth="1"/>
    <col min="4354" max="4359" width="12.140625" style="43" bestFit="1" customWidth="1"/>
    <col min="4360" max="4608" width="11.42578125" style="43"/>
    <col min="4609" max="4609" width="30.5703125" style="43" bestFit="1" customWidth="1"/>
    <col min="4610" max="4615" width="12.140625" style="43" bestFit="1" customWidth="1"/>
    <col min="4616" max="4864" width="11.42578125" style="43"/>
    <col min="4865" max="4865" width="30.5703125" style="43" bestFit="1" customWidth="1"/>
    <col min="4866" max="4871" width="12.140625" style="43" bestFit="1" customWidth="1"/>
    <col min="4872" max="5120" width="11.42578125" style="43"/>
    <col min="5121" max="5121" width="30.5703125" style="43" bestFit="1" customWidth="1"/>
    <col min="5122" max="5127" width="12.140625" style="43" bestFit="1" customWidth="1"/>
    <col min="5128" max="5376" width="11.42578125" style="43"/>
    <col min="5377" max="5377" width="30.5703125" style="43" bestFit="1" customWidth="1"/>
    <col min="5378" max="5383" width="12.140625" style="43" bestFit="1" customWidth="1"/>
    <col min="5384" max="5632" width="11.42578125" style="43"/>
    <col min="5633" max="5633" width="30.5703125" style="43" bestFit="1" customWidth="1"/>
    <col min="5634" max="5639" width="12.140625" style="43" bestFit="1" customWidth="1"/>
    <col min="5640" max="5888" width="11.42578125" style="43"/>
    <col min="5889" max="5889" width="30.5703125" style="43" bestFit="1" customWidth="1"/>
    <col min="5890" max="5895" width="12.140625" style="43" bestFit="1" customWidth="1"/>
    <col min="5896" max="6144" width="11.42578125" style="43"/>
    <col min="6145" max="6145" width="30.5703125" style="43" bestFit="1" customWidth="1"/>
    <col min="6146" max="6151" width="12.140625" style="43" bestFit="1" customWidth="1"/>
    <col min="6152" max="6400" width="11.42578125" style="43"/>
    <col min="6401" max="6401" width="30.5703125" style="43" bestFit="1" customWidth="1"/>
    <col min="6402" max="6407" width="12.140625" style="43" bestFit="1" customWidth="1"/>
    <col min="6408" max="6656" width="11.42578125" style="43"/>
    <col min="6657" max="6657" width="30.5703125" style="43" bestFit="1" customWidth="1"/>
    <col min="6658" max="6663" width="12.140625" style="43" bestFit="1" customWidth="1"/>
    <col min="6664" max="6912" width="11.42578125" style="43"/>
    <col min="6913" max="6913" width="30.5703125" style="43" bestFit="1" customWidth="1"/>
    <col min="6914" max="6919" width="12.140625" style="43" bestFit="1" customWidth="1"/>
    <col min="6920" max="7168" width="11.42578125" style="43"/>
    <col min="7169" max="7169" width="30.5703125" style="43" bestFit="1" customWidth="1"/>
    <col min="7170" max="7175" width="12.140625" style="43" bestFit="1" customWidth="1"/>
    <col min="7176" max="7424" width="11.42578125" style="43"/>
    <col min="7425" max="7425" width="30.5703125" style="43" bestFit="1" customWidth="1"/>
    <col min="7426" max="7431" width="12.140625" style="43" bestFit="1" customWidth="1"/>
    <col min="7432" max="7680" width="11.42578125" style="43"/>
    <col min="7681" max="7681" width="30.5703125" style="43" bestFit="1" customWidth="1"/>
    <col min="7682" max="7687" width="12.140625" style="43" bestFit="1" customWidth="1"/>
    <col min="7688" max="7936" width="11.42578125" style="43"/>
    <col min="7937" max="7937" width="30.5703125" style="43" bestFit="1" customWidth="1"/>
    <col min="7938" max="7943" width="12.140625" style="43" bestFit="1" customWidth="1"/>
    <col min="7944" max="8192" width="11.42578125" style="43"/>
    <col min="8193" max="8193" width="30.5703125" style="43" bestFit="1" customWidth="1"/>
    <col min="8194" max="8199" width="12.140625" style="43" bestFit="1" customWidth="1"/>
    <col min="8200" max="8448" width="11.42578125" style="43"/>
    <col min="8449" max="8449" width="30.5703125" style="43" bestFit="1" customWidth="1"/>
    <col min="8450" max="8455" width="12.140625" style="43" bestFit="1" customWidth="1"/>
    <col min="8456" max="8704" width="11.42578125" style="43"/>
    <col min="8705" max="8705" width="30.5703125" style="43" bestFit="1" customWidth="1"/>
    <col min="8706" max="8711" width="12.140625" style="43" bestFit="1" customWidth="1"/>
    <col min="8712" max="8960" width="11.42578125" style="43"/>
    <col min="8961" max="8961" width="30.5703125" style="43" bestFit="1" customWidth="1"/>
    <col min="8962" max="8967" width="12.140625" style="43" bestFit="1" customWidth="1"/>
    <col min="8968" max="9216" width="11.42578125" style="43"/>
    <col min="9217" max="9217" width="30.5703125" style="43" bestFit="1" customWidth="1"/>
    <col min="9218" max="9223" width="12.140625" style="43" bestFit="1" customWidth="1"/>
    <col min="9224" max="9472" width="11.42578125" style="43"/>
    <col min="9473" max="9473" width="30.5703125" style="43" bestFit="1" customWidth="1"/>
    <col min="9474" max="9479" width="12.140625" style="43" bestFit="1" customWidth="1"/>
    <col min="9480" max="9728" width="11.42578125" style="43"/>
    <col min="9729" max="9729" width="30.5703125" style="43" bestFit="1" customWidth="1"/>
    <col min="9730" max="9735" width="12.140625" style="43" bestFit="1" customWidth="1"/>
    <col min="9736" max="9984" width="11.42578125" style="43"/>
    <col min="9985" max="9985" width="30.5703125" style="43" bestFit="1" customWidth="1"/>
    <col min="9986" max="9991" width="12.140625" style="43" bestFit="1" customWidth="1"/>
    <col min="9992" max="10240" width="11.42578125" style="43"/>
    <col min="10241" max="10241" width="30.5703125" style="43" bestFit="1" customWidth="1"/>
    <col min="10242" max="10247" width="12.140625" style="43" bestFit="1" customWidth="1"/>
    <col min="10248" max="10496" width="11.42578125" style="43"/>
    <col min="10497" max="10497" width="30.5703125" style="43" bestFit="1" customWidth="1"/>
    <col min="10498" max="10503" width="12.140625" style="43" bestFit="1" customWidth="1"/>
    <col min="10504" max="10752" width="11.42578125" style="43"/>
    <col min="10753" max="10753" width="30.5703125" style="43" bestFit="1" customWidth="1"/>
    <col min="10754" max="10759" width="12.140625" style="43" bestFit="1" customWidth="1"/>
    <col min="10760" max="11008" width="11.42578125" style="43"/>
    <col min="11009" max="11009" width="30.5703125" style="43" bestFit="1" customWidth="1"/>
    <col min="11010" max="11015" width="12.140625" style="43" bestFit="1" customWidth="1"/>
    <col min="11016" max="11264" width="11.42578125" style="43"/>
    <col min="11265" max="11265" width="30.5703125" style="43" bestFit="1" customWidth="1"/>
    <col min="11266" max="11271" width="12.140625" style="43" bestFit="1" customWidth="1"/>
    <col min="11272" max="11520" width="11.42578125" style="43"/>
    <col min="11521" max="11521" width="30.5703125" style="43" bestFit="1" customWidth="1"/>
    <col min="11522" max="11527" width="12.140625" style="43" bestFit="1" customWidth="1"/>
    <col min="11528" max="11776" width="11.42578125" style="43"/>
    <col min="11777" max="11777" width="30.5703125" style="43" bestFit="1" customWidth="1"/>
    <col min="11778" max="11783" width="12.140625" style="43" bestFit="1" customWidth="1"/>
    <col min="11784" max="12032" width="11.42578125" style="43"/>
    <col min="12033" max="12033" width="30.5703125" style="43" bestFit="1" customWidth="1"/>
    <col min="12034" max="12039" width="12.140625" style="43" bestFit="1" customWidth="1"/>
    <col min="12040" max="12288" width="11.42578125" style="43"/>
    <col min="12289" max="12289" width="30.5703125" style="43" bestFit="1" customWidth="1"/>
    <col min="12290" max="12295" width="12.140625" style="43" bestFit="1" customWidth="1"/>
    <col min="12296" max="12544" width="11.42578125" style="43"/>
    <col min="12545" max="12545" width="30.5703125" style="43" bestFit="1" customWidth="1"/>
    <col min="12546" max="12551" width="12.140625" style="43" bestFit="1" customWidth="1"/>
    <col min="12552" max="12800" width="11.42578125" style="43"/>
    <col min="12801" max="12801" width="30.5703125" style="43" bestFit="1" customWidth="1"/>
    <col min="12802" max="12807" width="12.140625" style="43" bestFit="1" customWidth="1"/>
    <col min="12808" max="13056" width="11.42578125" style="43"/>
    <col min="13057" max="13057" width="30.5703125" style="43" bestFit="1" customWidth="1"/>
    <col min="13058" max="13063" width="12.140625" style="43" bestFit="1" customWidth="1"/>
    <col min="13064" max="13312" width="11.42578125" style="43"/>
    <col min="13313" max="13313" width="30.5703125" style="43" bestFit="1" customWidth="1"/>
    <col min="13314" max="13319" width="12.140625" style="43" bestFit="1" customWidth="1"/>
    <col min="13320" max="13568" width="11.42578125" style="43"/>
    <col min="13569" max="13569" width="30.5703125" style="43" bestFit="1" customWidth="1"/>
    <col min="13570" max="13575" width="12.140625" style="43" bestFit="1" customWidth="1"/>
    <col min="13576" max="13824" width="11.42578125" style="43"/>
    <col min="13825" max="13825" width="30.5703125" style="43" bestFit="1" customWidth="1"/>
    <col min="13826" max="13831" width="12.140625" style="43" bestFit="1" customWidth="1"/>
    <col min="13832" max="14080" width="11.42578125" style="43"/>
    <col min="14081" max="14081" width="30.5703125" style="43" bestFit="1" customWidth="1"/>
    <col min="14082" max="14087" width="12.140625" style="43" bestFit="1" customWidth="1"/>
    <col min="14088" max="14336" width="11.42578125" style="43"/>
    <col min="14337" max="14337" width="30.5703125" style="43" bestFit="1" customWidth="1"/>
    <col min="14338" max="14343" width="12.140625" style="43" bestFit="1" customWidth="1"/>
    <col min="14344" max="14592" width="11.42578125" style="43"/>
    <col min="14593" max="14593" width="30.5703125" style="43" bestFit="1" customWidth="1"/>
    <col min="14594" max="14599" width="12.140625" style="43" bestFit="1" customWidth="1"/>
    <col min="14600" max="14848" width="11.42578125" style="43"/>
    <col min="14849" max="14849" width="30.5703125" style="43" bestFit="1" customWidth="1"/>
    <col min="14850" max="14855" width="12.140625" style="43" bestFit="1" customWidth="1"/>
    <col min="14856" max="15104" width="11.42578125" style="43"/>
    <col min="15105" max="15105" width="30.5703125" style="43" bestFit="1" customWidth="1"/>
    <col min="15106" max="15111" width="12.140625" style="43" bestFit="1" customWidth="1"/>
    <col min="15112" max="15360" width="11.42578125" style="43"/>
    <col min="15361" max="15361" width="30.5703125" style="43" bestFit="1" customWidth="1"/>
    <col min="15362" max="15367" width="12.140625" style="43" bestFit="1" customWidth="1"/>
    <col min="15368" max="15616" width="11.42578125" style="43"/>
    <col min="15617" max="15617" width="30.5703125" style="43" bestFit="1" customWidth="1"/>
    <col min="15618" max="15623" width="12.140625" style="43" bestFit="1" customWidth="1"/>
    <col min="15624" max="15872" width="11.42578125" style="43"/>
    <col min="15873" max="15873" width="30.5703125" style="43" bestFit="1" customWidth="1"/>
    <col min="15874" max="15879" width="12.140625" style="43" bestFit="1" customWidth="1"/>
    <col min="15880" max="16128" width="11.42578125" style="43"/>
    <col min="16129" max="16129" width="30.5703125" style="43" bestFit="1" customWidth="1"/>
    <col min="16130" max="16135" width="12.140625" style="43" bestFit="1" customWidth="1"/>
    <col min="16136" max="16384" width="11.42578125" style="43"/>
  </cols>
  <sheetData>
    <row r="1" spans="1:7" x14ac:dyDescent="0.2">
      <c r="A1" s="50" t="s">
        <v>41</v>
      </c>
      <c r="B1" s="51">
        <v>0.2</v>
      </c>
      <c r="C1" s="52"/>
      <c r="D1" s="52"/>
      <c r="E1" s="52"/>
      <c r="F1" s="52"/>
      <c r="G1" s="52"/>
    </row>
    <row r="2" spans="1:7" x14ac:dyDescent="0.2">
      <c r="A2" s="52" t="s">
        <v>42</v>
      </c>
      <c r="B2" s="53">
        <v>0.1</v>
      </c>
      <c r="C2" s="52"/>
      <c r="D2" s="52"/>
      <c r="E2" s="52"/>
      <c r="F2" s="52"/>
      <c r="G2" s="52"/>
    </row>
    <row r="3" spans="1:7" x14ac:dyDescent="0.2">
      <c r="A3" s="52"/>
      <c r="B3" s="54">
        <v>0</v>
      </c>
      <c r="C3" s="54">
        <f>B3+1</f>
        <v>1</v>
      </c>
      <c r="D3" s="54">
        <f>C3+1</f>
        <v>2</v>
      </c>
      <c r="E3" s="54">
        <f>D3+1</f>
        <v>3</v>
      </c>
      <c r="F3" s="54">
        <f>E3+1</f>
        <v>4</v>
      </c>
      <c r="G3" s="54">
        <f>F3+1</f>
        <v>5</v>
      </c>
    </row>
    <row r="4" spans="1:7" x14ac:dyDescent="0.2">
      <c r="A4" s="52" t="s">
        <v>1</v>
      </c>
      <c r="B4" s="55">
        <v>-600000</v>
      </c>
      <c r="C4" s="52"/>
      <c r="D4" s="52"/>
      <c r="E4" s="52"/>
      <c r="F4" s="52"/>
      <c r="G4" s="52"/>
    </row>
    <row r="5" spans="1:7" x14ac:dyDescent="0.2">
      <c r="A5" s="52" t="s">
        <v>43</v>
      </c>
      <c r="B5" s="52"/>
      <c r="C5" s="55">
        <v>-100000</v>
      </c>
      <c r="D5" s="55">
        <f>C5*(1+$B$2)</f>
        <v>-110000.00000000001</v>
      </c>
      <c r="E5" s="55">
        <f>D5*(1+$B$2)</f>
        <v>-121000.00000000003</v>
      </c>
      <c r="F5" s="55">
        <f>E5*(1+$B$2)</f>
        <v>-133100.00000000003</v>
      </c>
      <c r="G5" s="55">
        <f>F5*(1+$B$2)</f>
        <v>-146410.00000000006</v>
      </c>
    </row>
    <row r="6" spans="1:7" x14ac:dyDescent="0.2">
      <c r="A6" s="52" t="s">
        <v>44</v>
      </c>
      <c r="B6" s="52"/>
      <c r="C6" s="52"/>
      <c r="D6" s="52"/>
      <c r="E6" s="52"/>
      <c r="F6" s="52"/>
      <c r="G6" s="55">
        <v>300000</v>
      </c>
    </row>
    <row r="7" spans="1:7" x14ac:dyDescent="0.2">
      <c r="A7" s="52" t="s">
        <v>45</v>
      </c>
      <c r="B7" s="55">
        <f>B4</f>
        <v>-600000</v>
      </c>
      <c r="C7" s="55">
        <f>SUM(C4:C6)</f>
        <v>-100000</v>
      </c>
      <c r="D7" s="55">
        <f>SUM(D4:D6)</f>
        <v>-110000.00000000001</v>
      </c>
      <c r="E7" s="55">
        <f>SUM(E4:E6)</f>
        <v>-121000.00000000003</v>
      </c>
      <c r="F7" s="55">
        <f>SUM(F4:F6)</f>
        <v>-133100.00000000003</v>
      </c>
      <c r="G7" s="55">
        <f>SUM(G4:G6)</f>
        <v>153589.99999999994</v>
      </c>
    </row>
    <row r="8" spans="1:7" x14ac:dyDescent="0.2">
      <c r="A8" s="52" t="s">
        <v>6</v>
      </c>
      <c r="B8" s="55">
        <f>NPV(B1,C7:G7)+B7</f>
        <v>-832208.87988683139</v>
      </c>
      <c r="C8" s="55"/>
      <c r="D8" s="55"/>
      <c r="E8" s="55"/>
      <c r="F8" s="55"/>
      <c r="G8" s="55"/>
    </row>
    <row r="9" spans="1:7" x14ac:dyDescent="0.2">
      <c r="A9" s="50" t="s">
        <v>46</v>
      </c>
      <c r="B9" s="56">
        <f>PMT(B1,G3,B8)</f>
        <v>278273.75833154161</v>
      </c>
      <c r="C9" s="52"/>
      <c r="D9" s="52"/>
      <c r="E9" s="52"/>
      <c r="F9" s="52"/>
      <c r="G9" s="52"/>
    </row>
    <row r="10" spans="1:7" x14ac:dyDescent="0.2">
      <c r="A10" s="52"/>
      <c r="B10" s="60"/>
      <c r="C10" s="52"/>
      <c r="D10" s="52"/>
      <c r="E10" s="52"/>
      <c r="F10" s="52"/>
      <c r="G10" s="52"/>
    </row>
    <row r="11" spans="1:7" x14ac:dyDescent="0.2">
      <c r="A11" s="52"/>
      <c r="B11" s="54">
        <v>0</v>
      </c>
      <c r="C11" s="54">
        <f>B11+1</f>
        <v>1</v>
      </c>
      <c r="D11" s="54">
        <f>C11+1</f>
        <v>2</v>
      </c>
      <c r="E11" s="54">
        <f>D11+1</f>
        <v>3</v>
      </c>
      <c r="F11" s="54">
        <f>E11+1</f>
        <v>4</v>
      </c>
      <c r="G11" s="54">
        <f>F11+1</f>
        <v>5</v>
      </c>
    </row>
    <row r="12" spans="1:7" x14ac:dyDescent="0.2">
      <c r="A12" s="52" t="s">
        <v>47</v>
      </c>
      <c r="B12" s="52"/>
      <c r="C12" s="57">
        <f>-PMT(B1,G3,-B4)</f>
        <v>200627.82197376911</v>
      </c>
      <c r="D12" s="57">
        <f t="shared" ref="D12:G14" si="0">C12</f>
        <v>200627.82197376911</v>
      </c>
      <c r="E12" s="57">
        <f t="shared" si="0"/>
        <v>200627.82197376911</v>
      </c>
      <c r="F12" s="57">
        <f t="shared" si="0"/>
        <v>200627.82197376911</v>
      </c>
      <c r="G12" s="57">
        <f t="shared" si="0"/>
        <v>200627.82197376911</v>
      </c>
    </row>
    <row r="13" spans="1:7" x14ac:dyDescent="0.2">
      <c r="A13" s="52" t="s">
        <v>48</v>
      </c>
      <c r="B13" s="52"/>
      <c r="C13" s="57">
        <f>-PMT(B1,G3,,-G6)</f>
        <v>-40313.910986884548</v>
      </c>
      <c r="D13" s="57">
        <f t="shared" si="0"/>
        <v>-40313.910986884548</v>
      </c>
      <c r="E13" s="57">
        <f t="shared" si="0"/>
        <v>-40313.910986884548</v>
      </c>
      <c r="F13" s="57">
        <f t="shared" si="0"/>
        <v>-40313.910986884548</v>
      </c>
      <c r="G13" s="57">
        <f t="shared" si="0"/>
        <v>-40313.910986884548</v>
      </c>
    </row>
    <row r="14" spans="1:7" x14ac:dyDescent="0.2">
      <c r="A14" s="52" t="s">
        <v>49</v>
      </c>
      <c r="B14" s="52"/>
      <c r="C14" s="57">
        <f>PMT(B1,G3,NPV(B1,C5:G5))</f>
        <v>117959.84734465712</v>
      </c>
      <c r="D14" s="57">
        <f t="shared" si="0"/>
        <v>117959.84734465712</v>
      </c>
      <c r="E14" s="57">
        <f t="shared" si="0"/>
        <v>117959.84734465712</v>
      </c>
      <c r="F14" s="57">
        <f t="shared" si="0"/>
        <v>117959.84734465712</v>
      </c>
      <c r="G14" s="57">
        <f t="shared" si="0"/>
        <v>117959.84734465712</v>
      </c>
    </row>
    <row r="15" spans="1:7" x14ac:dyDescent="0.2">
      <c r="A15" s="50" t="s">
        <v>50</v>
      </c>
      <c r="B15" s="50"/>
      <c r="C15" s="58">
        <f>SUM(C12:C14)</f>
        <v>278273.75833154167</v>
      </c>
      <c r="D15" s="58">
        <f>SUM(D12:D14)</f>
        <v>278273.75833154167</v>
      </c>
      <c r="E15" s="58">
        <f>SUM(E12:E14)</f>
        <v>278273.75833154167</v>
      </c>
      <c r="F15" s="58">
        <f>SUM(F12:F14)</f>
        <v>278273.75833154167</v>
      </c>
      <c r="G15" s="58">
        <f>SUM(G12:G14)</f>
        <v>278273.75833154167</v>
      </c>
    </row>
    <row r="21" spans="1:7" x14ac:dyDescent="0.2">
      <c r="A21" s="43" t="s">
        <v>57</v>
      </c>
    </row>
    <row r="22" spans="1:7" x14ac:dyDescent="0.2">
      <c r="A22" s="50" t="s">
        <v>41</v>
      </c>
      <c r="B22" s="51">
        <v>0.13</v>
      </c>
      <c r="C22" s="61" t="s">
        <v>58</v>
      </c>
      <c r="D22" s="52"/>
      <c r="E22" s="52"/>
      <c r="F22" s="52"/>
      <c r="G22" s="52"/>
    </row>
    <row r="23" spans="1:7" x14ac:dyDescent="0.2">
      <c r="A23" s="52" t="s">
        <v>42</v>
      </c>
      <c r="B23" s="53"/>
      <c r="C23" s="52"/>
      <c r="D23" s="52"/>
      <c r="E23" s="52"/>
      <c r="F23" s="52"/>
      <c r="G23" s="52"/>
    </row>
    <row r="24" spans="1:7" x14ac:dyDescent="0.2">
      <c r="A24" s="52"/>
      <c r="B24" s="54">
        <v>0</v>
      </c>
      <c r="C24" s="54">
        <f>B24+1</f>
        <v>1</v>
      </c>
      <c r="D24" s="54">
        <f>C24+1</f>
        <v>2</v>
      </c>
      <c r="E24" s="54">
        <f>D24+1</f>
        <v>3</v>
      </c>
      <c r="F24" s="54">
        <f>E24+1</f>
        <v>4</v>
      </c>
      <c r="G24" s="54"/>
    </row>
    <row r="25" spans="1:7" x14ac:dyDescent="0.2">
      <c r="A25" s="52" t="s">
        <v>1</v>
      </c>
      <c r="B25" s="55">
        <v>-25000</v>
      </c>
      <c r="C25" s="52"/>
      <c r="D25" s="52"/>
      <c r="E25" s="52"/>
      <c r="F25" s="52"/>
      <c r="G25" s="52"/>
    </row>
    <row r="26" spans="1:7" x14ac:dyDescent="0.2">
      <c r="A26" s="52" t="s">
        <v>43</v>
      </c>
      <c r="B26" s="52"/>
      <c r="C26" s="55">
        <v>-10000</v>
      </c>
      <c r="D26" s="55">
        <v>-10000</v>
      </c>
      <c r="E26" s="55">
        <v>-10000</v>
      </c>
      <c r="F26" s="55">
        <v>-10000</v>
      </c>
      <c r="G26" s="55"/>
    </row>
    <row r="27" spans="1:7" x14ac:dyDescent="0.2">
      <c r="A27" s="52" t="s">
        <v>44</v>
      </c>
      <c r="B27" s="52"/>
      <c r="C27" s="52"/>
      <c r="D27" s="52"/>
      <c r="E27" s="52"/>
      <c r="F27" s="52">
        <v>0</v>
      </c>
      <c r="G27" s="55"/>
    </row>
    <row r="28" spans="1:7" x14ac:dyDescent="0.2">
      <c r="A28" s="52" t="s">
        <v>45</v>
      </c>
      <c r="B28" s="55">
        <f>B25</f>
        <v>-25000</v>
      </c>
      <c r="C28" s="55">
        <f>SUM(C25:C27)</f>
        <v>-10000</v>
      </c>
      <c r="D28" s="55">
        <f>SUM(D25:D27)</f>
        <v>-10000</v>
      </c>
      <c r="E28" s="55">
        <f>SUM(E25:E27)</f>
        <v>-10000</v>
      </c>
      <c r="F28" s="55">
        <f>SUM(F25:F27)</f>
        <v>-10000</v>
      </c>
      <c r="G28" s="55"/>
    </row>
    <row r="29" spans="1:7" x14ac:dyDescent="0.2">
      <c r="A29" s="52"/>
      <c r="B29" s="55"/>
      <c r="C29" s="55">
        <f>C28/POWER(1.13,1)</f>
        <v>-8849.5575221238942</v>
      </c>
      <c r="D29" s="55">
        <f>D28/POWER(1.13,2)</f>
        <v>-7831.4668337379608</v>
      </c>
      <c r="E29" s="55">
        <f>E28/POWER(1.13,3)</f>
        <v>-6930.5016227769574</v>
      </c>
      <c r="F29" s="55">
        <f>F28/POWER(1.13,4)</f>
        <v>-6133.1872767937684</v>
      </c>
      <c r="G29" s="55">
        <f>SUM(C29:F29)</f>
        <v>-29744.71325543258</v>
      </c>
    </row>
    <row r="30" spans="1:7" x14ac:dyDescent="0.2">
      <c r="A30" s="52" t="s">
        <v>6</v>
      </c>
      <c r="B30" s="62">
        <f>NPV(B22,C28:F28)+B28</f>
        <v>-54744.71325543258</v>
      </c>
      <c r="C30" s="55"/>
      <c r="D30" s="55"/>
      <c r="E30" s="55"/>
      <c r="F30" s="55"/>
      <c r="G30" s="55">
        <f>+B25+G29</f>
        <v>-54744.71325543258</v>
      </c>
    </row>
    <row r="31" spans="1:7" x14ac:dyDescent="0.2">
      <c r="A31" s="50" t="s">
        <v>46</v>
      </c>
      <c r="B31" s="56">
        <f>PMT(13%,4,-54745)</f>
        <v>18404.951337025035</v>
      </c>
      <c r="C31" s="52"/>
      <c r="D31" s="52"/>
      <c r="E31" s="52"/>
      <c r="F31" s="52"/>
      <c r="G31" s="52"/>
    </row>
    <row r="32" spans="1:7" x14ac:dyDescent="0.2">
      <c r="B32" s="56">
        <f>PMT(B22,F24,B30)</f>
        <v>18404.854935165327</v>
      </c>
    </row>
    <row r="34" spans="1:7" x14ac:dyDescent="0.2">
      <c r="A34" s="43" t="s">
        <v>56</v>
      </c>
    </row>
    <row r="35" spans="1:7" x14ac:dyDescent="0.2">
      <c r="A35" s="50" t="s">
        <v>41</v>
      </c>
      <c r="B35" s="51">
        <v>0.13</v>
      </c>
      <c r="C35" s="61" t="s">
        <v>58</v>
      </c>
      <c r="D35" s="52"/>
      <c r="E35" s="52"/>
      <c r="F35" s="52"/>
      <c r="G35" s="52"/>
    </row>
    <row r="36" spans="1:7" x14ac:dyDescent="0.2">
      <c r="A36" s="52" t="s">
        <v>42</v>
      </c>
      <c r="B36" s="53"/>
      <c r="C36" s="52"/>
      <c r="D36" s="52"/>
      <c r="E36" s="52"/>
      <c r="F36" s="52"/>
      <c r="G36" s="52"/>
    </row>
    <row r="37" spans="1:7" x14ac:dyDescent="0.2">
      <c r="A37" s="52"/>
      <c r="B37" s="54">
        <v>0</v>
      </c>
      <c r="C37" s="54">
        <f>B37+1</f>
        <v>1</v>
      </c>
      <c r="D37" s="54">
        <f>C37+1</f>
        <v>2</v>
      </c>
      <c r="E37" s="54">
        <f>D37+1</f>
        <v>3</v>
      </c>
      <c r="F37" s="54"/>
      <c r="G37" s="54"/>
    </row>
    <row r="38" spans="1:7" x14ac:dyDescent="0.2">
      <c r="A38" s="52" t="s">
        <v>1</v>
      </c>
      <c r="B38" s="55">
        <v>-29000</v>
      </c>
      <c r="C38" s="52"/>
      <c r="D38" s="52"/>
      <c r="E38" s="52"/>
      <c r="F38" s="52"/>
      <c r="G38" s="52"/>
    </row>
    <row r="39" spans="1:7" x14ac:dyDescent="0.2">
      <c r="A39" s="52" t="s">
        <v>43</v>
      </c>
      <c r="B39" s="52"/>
      <c r="C39" s="55">
        <v>-9000</v>
      </c>
      <c r="D39" s="55">
        <v>-9000</v>
      </c>
      <c r="E39" s="55">
        <v>-9000</v>
      </c>
      <c r="F39" s="55"/>
      <c r="G39" s="55"/>
    </row>
    <row r="40" spans="1:7" x14ac:dyDescent="0.2">
      <c r="A40" s="52" t="s">
        <v>44</v>
      </c>
      <c r="B40" s="52"/>
      <c r="C40" s="52"/>
      <c r="D40" s="52"/>
      <c r="E40" s="52"/>
      <c r="F40" s="52"/>
      <c r="G40" s="55"/>
    </row>
    <row r="41" spans="1:7" x14ac:dyDescent="0.2">
      <c r="A41" s="52" t="s">
        <v>45</v>
      </c>
      <c r="B41" s="55">
        <f>B38</f>
        <v>-29000</v>
      </c>
      <c r="C41" s="55">
        <f>SUM(C38:C40)</f>
        <v>-9000</v>
      </c>
      <c r="D41" s="55">
        <f>SUM(D38:D40)</f>
        <v>-9000</v>
      </c>
      <c r="E41" s="55">
        <f>SUM(E38:E40)</f>
        <v>-9000</v>
      </c>
      <c r="F41" s="55"/>
      <c r="G41" s="55"/>
    </row>
    <row r="42" spans="1:7" x14ac:dyDescent="0.2">
      <c r="A42" s="52"/>
      <c r="B42" s="55"/>
      <c r="C42" s="55">
        <f>C41/POWER(1.13,1)</f>
        <v>-7964.6017699115055</v>
      </c>
      <c r="D42" s="55">
        <f>D41/POWER(1.13,2)</f>
        <v>-7048.3201503641649</v>
      </c>
      <c r="E42" s="55">
        <f>E41/POWER(1.13,3)</f>
        <v>-6237.4514604992619</v>
      </c>
      <c r="F42" s="55">
        <f>SUM(C42:E42)</f>
        <v>-21250.37338077493</v>
      </c>
    </row>
    <row r="43" spans="1:7" x14ac:dyDescent="0.2">
      <c r="A43" s="52" t="s">
        <v>6</v>
      </c>
      <c r="B43" s="62">
        <f>NPV(B35,C41:F41)+B41</f>
        <v>-50250.37338077493</v>
      </c>
      <c r="C43" s="55"/>
      <c r="D43" s="55"/>
      <c r="E43" s="55"/>
      <c r="F43" s="55">
        <f>+B38+F42</f>
        <v>-50250.37338077493</v>
      </c>
    </row>
    <row r="44" spans="1:7" x14ac:dyDescent="0.2">
      <c r="A44" s="50" t="s">
        <v>46</v>
      </c>
      <c r="B44" s="56">
        <f>PMT(13%,3,-50250)</f>
        <v>21281.97899850304</v>
      </c>
      <c r="C44" s="52"/>
      <c r="D44" s="52"/>
      <c r="E44" s="52"/>
      <c r="F44" s="52"/>
      <c r="G44" s="52"/>
    </row>
    <row r="45" spans="1:7" x14ac:dyDescent="0.2">
      <c r="B45" s="56">
        <f>PMT(B35,E37,B43)</f>
        <v>21282.137133464443</v>
      </c>
    </row>
    <row r="49" spans="1:4" x14ac:dyDescent="0.2">
      <c r="B49" s="43">
        <v>-700000</v>
      </c>
    </row>
    <row r="50" spans="1:4" x14ac:dyDescent="0.2">
      <c r="A50" s="43">
        <v>1</v>
      </c>
      <c r="B50" s="43">
        <v>-20000</v>
      </c>
    </row>
    <row r="51" spans="1:4" x14ac:dyDescent="0.2">
      <c r="A51" s="43">
        <v>2</v>
      </c>
      <c r="B51" s="43">
        <v>-20000</v>
      </c>
    </row>
    <row r="52" spans="1:4" x14ac:dyDescent="0.2">
      <c r="A52" s="43">
        <v>3</v>
      </c>
      <c r="B52" s="43">
        <v>-20000</v>
      </c>
    </row>
    <row r="53" spans="1:4" x14ac:dyDescent="0.2">
      <c r="A53" s="43">
        <v>4</v>
      </c>
      <c r="B53" s="43">
        <f>-700000-20000+80000</f>
        <v>-640000</v>
      </c>
    </row>
    <row r="54" spans="1:4" x14ac:dyDescent="0.2">
      <c r="A54" s="43">
        <v>1</v>
      </c>
      <c r="B54" s="43">
        <v>-20000</v>
      </c>
    </row>
    <row r="55" spans="1:4" x14ac:dyDescent="0.2">
      <c r="A55" s="43">
        <v>2</v>
      </c>
      <c r="B55" s="43">
        <v>-20000</v>
      </c>
    </row>
    <row r="56" spans="1:4" x14ac:dyDescent="0.2">
      <c r="A56" s="43">
        <v>3</v>
      </c>
      <c r="B56" s="43">
        <v>-20000</v>
      </c>
    </row>
    <row r="57" spans="1:4" x14ac:dyDescent="0.2">
      <c r="B57" s="43">
        <f>-20000+80000</f>
        <v>60000</v>
      </c>
    </row>
    <row r="58" spans="1:4" x14ac:dyDescent="0.2">
      <c r="B58" s="63">
        <f>NPV(30%,B50:B57)+B49</f>
        <v>-965766.11106939032</v>
      </c>
      <c r="C58" s="43">
        <v>-764362</v>
      </c>
      <c r="D58" s="43">
        <v>-727847</v>
      </c>
    </row>
    <row r="59" spans="1:4" x14ac:dyDescent="0.2">
      <c r="B59" s="64">
        <f>PMT(13%,8,B58)</f>
        <v>201252.83183225154</v>
      </c>
      <c r="C59" s="64">
        <f>PMT(13%,8,C58)</f>
        <v>159282.8898030268</v>
      </c>
      <c r="D59" s="64">
        <f>PMT(13%,8,D58)</f>
        <v>151673.64873510675</v>
      </c>
    </row>
    <row r="60" spans="1:4" x14ac:dyDescent="0.2">
      <c r="B60" s="43" t="s">
        <v>60</v>
      </c>
      <c r="C60" s="43" t="s">
        <v>59</v>
      </c>
      <c r="D60" s="43" t="s">
        <v>61</v>
      </c>
    </row>
  </sheetData>
  <pageMargins left="0.75" right="0.75" top="1" bottom="1" header="0" footer="0"/>
  <pageSetup orientation="portrait" horizontalDpi="300" verticalDpi="300" copies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21"/>
  <sheetViews>
    <sheetView workbookViewId="0">
      <selection activeCell="D15" sqref="D15"/>
    </sheetView>
  </sheetViews>
  <sheetFormatPr baseColWidth="10" defaultRowHeight="15" x14ac:dyDescent="0.25"/>
  <cols>
    <col min="4" max="4" width="15.85546875" customWidth="1"/>
  </cols>
  <sheetData>
    <row r="5" spans="4:8" x14ac:dyDescent="0.25">
      <c r="D5">
        <v>1998</v>
      </c>
      <c r="E5">
        <v>3.8</v>
      </c>
    </row>
    <row r="6" spans="4:8" x14ac:dyDescent="0.25">
      <c r="D6">
        <v>1997</v>
      </c>
      <c r="E6">
        <v>3.62</v>
      </c>
      <c r="F6">
        <f>+E5-E6</f>
        <v>0.17999999999999972</v>
      </c>
      <c r="G6">
        <f t="shared" ref="G6:G9" si="0">+F6/E6</f>
        <v>4.972375690607727E-2</v>
      </c>
    </row>
    <row r="7" spans="4:8" x14ac:dyDescent="0.25">
      <c r="D7">
        <v>1996</v>
      </c>
      <c r="E7">
        <v>3.47</v>
      </c>
      <c r="F7">
        <f>+E6-E7</f>
        <v>0.14999999999999991</v>
      </c>
      <c r="G7">
        <f t="shared" si="0"/>
        <v>4.3227665706051847E-2</v>
      </c>
    </row>
    <row r="8" spans="4:8" x14ac:dyDescent="0.25">
      <c r="D8">
        <v>1995</v>
      </c>
      <c r="E8">
        <v>3.33</v>
      </c>
      <c r="F8">
        <f>+E7-E8</f>
        <v>0.14000000000000012</v>
      </c>
      <c r="G8">
        <f t="shared" si="0"/>
        <v>4.204204204204208E-2</v>
      </c>
    </row>
    <row r="9" spans="4:8" x14ac:dyDescent="0.25">
      <c r="D9">
        <v>1994</v>
      </c>
      <c r="E9">
        <v>3.12</v>
      </c>
      <c r="F9">
        <f>+E8-E9</f>
        <v>0.20999999999999996</v>
      </c>
      <c r="G9">
        <f t="shared" si="0"/>
        <v>6.7307692307692291E-2</v>
      </c>
    </row>
    <row r="10" spans="4:8" x14ac:dyDescent="0.25">
      <c r="D10">
        <v>1993</v>
      </c>
      <c r="E10">
        <v>2.97</v>
      </c>
      <c r="F10">
        <f>+E9-E10</f>
        <v>0.14999999999999991</v>
      </c>
      <c r="G10">
        <f>+F10/E10</f>
        <v>5.0505050505050469E-2</v>
      </c>
    </row>
    <row r="11" spans="4:8" x14ac:dyDescent="0.25">
      <c r="F11">
        <f>SUM(F6:F10)</f>
        <v>0.82999999999999963</v>
      </c>
      <c r="G11">
        <f>SUM(G6:G10)</f>
        <v>0.25280620746691396</v>
      </c>
    </row>
    <row r="12" spans="4:8" x14ac:dyDescent="0.25">
      <c r="F12">
        <f>+F11/5</f>
        <v>0.16599999999999993</v>
      </c>
      <c r="G12">
        <f>+G11/5</f>
        <v>5.0561241493382793E-2</v>
      </c>
      <c r="H12">
        <f>+G12*100</f>
        <v>5.0561241493382791</v>
      </c>
    </row>
    <row r="15" spans="4:8" ht="15.75" x14ac:dyDescent="0.25">
      <c r="D15" s="59" t="s">
        <v>51</v>
      </c>
      <c r="E15">
        <v>3.1</v>
      </c>
    </row>
    <row r="16" spans="4:8" ht="15.75" x14ac:dyDescent="0.25">
      <c r="D16" s="59" t="s">
        <v>52</v>
      </c>
      <c r="E16">
        <v>2.92</v>
      </c>
      <c r="F16">
        <f>+E15-E16</f>
        <v>0.18000000000000016</v>
      </c>
      <c r="G16">
        <f t="shared" ref="G16:G17" si="1">+F16/E16</f>
        <v>6.1643835616438415E-2</v>
      </c>
    </row>
    <row r="17" spans="4:8" ht="15.75" x14ac:dyDescent="0.25">
      <c r="D17" s="59" t="s">
        <v>53</v>
      </c>
      <c r="E17">
        <v>2.6</v>
      </c>
      <c r="F17">
        <f>+E16-E17</f>
        <v>0.31999999999999984</v>
      </c>
      <c r="G17">
        <f t="shared" si="1"/>
        <v>0.12307692307692301</v>
      </c>
    </row>
    <row r="18" spans="4:8" ht="15.75" x14ac:dyDescent="0.25">
      <c r="D18" s="59" t="s">
        <v>54</v>
      </c>
      <c r="E18">
        <v>2.2999999999999998</v>
      </c>
      <c r="F18">
        <f>+E17-E18</f>
        <v>0.30000000000000027</v>
      </c>
      <c r="G18">
        <f>+F18/E18</f>
        <v>0.13043478260869579</v>
      </c>
    </row>
    <row r="19" spans="4:8" ht="15.75" x14ac:dyDescent="0.25">
      <c r="D19" s="59" t="s">
        <v>55</v>
      </c>
      <c r="E19">
        <v>2.12</v>
      </c>
      <c r="F19">
        <f>+E18-E19</f>
        <v>0.17999999999999972</v>
      </c>
      <c r="G19">
        <f>+F19/E19</f>
        <v>8.4905660377358347E-2</v>
      </c>
    </row>
    <row r="20" spans="4:8" x14ac:dyDescent="0.25">
      <c r="G20">
        <f>SUM(G15:G19)</f>
        <v>0.40006120167941561</v>
      </c>
    </row>
    <row r="21" spans="4:8" x14ac:dyDescent="0.25">
      <c r="G21">
        <f>+G20/4</f>
        <v>0.1000153004198539</v>
      </c>
      <c r="H21">
        <f>+G21*100</f>
        <v>10.00153004198539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TIR y VPN</vt:lpstr>
      <vt:lpstr>calculos</vt:lpstr>
      <vt:lpstr>PRI</vt:lpstr>
      <vt:lpstr>IR</vt:lpstr>
      <vt:lpstr>CAE</vt:lpstr>
      <vt:lpstr>Tir multiple</vt:lpstr>
      <vt:lpstr>CAE (2)</vt:lpstr>
      <vt:lpstr>Hoja1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2011-08-27T02:36:44Z</dcterms:created>
  <dcterms:modified xsi:type="dcterms:W3CDTF">2014-08-30T17:56:42Z</dcterms:modified>
</cp:coreProperties>
</file>