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65" windowWidth="15195" windowHeight="7875" activeTab="5"/>
  </bookViews>
  <sheets>
    <sheet name="PTO.VIAJE" sheetId="5" r:id="rId1"/>
    <sheet name="EJERC.1" sheetId="4" r:id="rId2"/>
    <sheet name="EJERC.2" sheetId="1" r:id="rId3"/>
    <sheet name="PTO_VTAS" sheetId="2" r:id="rId4"/>
    <sheet name="pto. efect" sheetId="3" r:id="rId5"/>
    <sheet name="ejerc. tarea" sheetId="6" r:id="rId6"/>
  </sheets>
  <calcPr calcId="145621"/>
</workbook>
</file>

<file path=xl/calcChain.xml><?xml version="1.0" encoding="utf-8"?>
<calcChain xmlns="http://schemas.openxmlformats.org/spreadsheetml/2006/main">
  <c r="F124" i="6"/>
  <c r="F135"/>
  <c r="F134"/>
  <c r="F133"/>
  <c r="F125"/>
  <c r="D107"/>
  <c r="C108"/>
  <c r="C107"/>
  <c r="D106"/>
  <c r="C106"/>
  <c r="C101"/>
  <c r="C98"/>
  <c r="E97"/>
  <c r="D97"/>
  <c r="C97"/>
  <c r="D88"/>
  <c r="E101"/>
  <c r="E85"/>
  <c r="F85"/>
  <c r="D85"/>
  <c r="D87" s="1"/>
  <c r="H64"/>
  <c r="G64"/>
  <c r="F64"/>
  <c r="H63"/>
  <c r="G63"/>
  <c r="F63"/>
  <c r="H62"/>
  <c r="G62"/>
  <c r="G66" s="1"/>
  <c r="D72" s="1"/>
  <c r="E90" s="1"/>
  <c r="F62"/>
  <c r="F66" l="1"/>
  <c r="C72" s="1"/>
  <c r="D90" s="1"/>
  <c r="H66"/>
  <c r="E72" s="1"/>
  <c r="F90" s="1"/>
  <c r="E87"/>
  <c r="C34" l="1"/>
  <c r="E34" s="1"/>
  <c r="C33"/>
  <c r="E33" s="1"/>
  <c r="C32"/>
  <c r="E32" s="1"/>
  <c r="D9"/>
  <c r="D10"/>
  <c r="D12" s="1"/>
  <c r="D8"/>
  <c r="D13" i="3"/>
  <c r="D11"/>
  <c r="D23" s="1"/>
  <c r="D6"/>
  <c r="G4" i="5"/>
  <c r="G5" s="1"/>
  <c r="B24"/>
  <c r="H7" i="4"/>
  <c r="H9"/>
  <c r="E9"/>
  <c r="G9" s="1"/>
  <c r="E8"/>
  <c r="E7"/>
  <c r="G7" s="1"/>
  <c r="H8" l="1"/>
  <c r="E36" i="6"/>
  <c r="B124"/>
  <c r="B48"/>
  <c r="B126"/>
  <c r="B47"/>
  <c r="G47" s="1"/>
  <c r="D98" s="1"/>
  <c r="B125"/>
  <c r="B46"/>
  <c r="H46" s="1"/>
  <c r="F47"/>
  <c r="H48"/>
  <c r="E99" s="1"/>
  <c r="F48"/>
  <c r="C99" s="1"/>
  <c r="G48"/>
  <c r="D99" s="1"/>
  <c r="G46"/>
  <c r="B50"/>
  <c r="F46"/>
  <c r="G8" i="4"/>
  <c r="H47" i="6" l="1"/>
  <c r="D100"/>
  <c r="H125"/>
  <c r="G125"/>
  <c r="G126"/>
  <c r="H126"/>
  <c r="F126"/>
  <c r="H124"/>
  <c r="G124"/>
  <c r="B127"/>
  <c r="E98"/>
  <c r="E100" s="1"/>
  <c r="F99"/>
  <c r="F50"/>
  <c r="H50"/>
  <c r="E73" s="1"/>
  <c r="E74" s="1"/>
  <c r="E76" s="1"/>
  <c r="G50"/>
  <c r="D5" i="1"/>
  <c r="D6"/>
  <c r="D7"/>
  <c r="G7" s="1"/>
  <c r="J7" s="1"/>
  <c r="D4"/>
  <c r="G4" s="1"/>
  <c r="J4" s="1"/>
  <c r="G5" l="1"/>
  <c r="J5" s="1"/>
  <c r="J6"/>
  <c r="G6"/>
  <c r="G127" i="6"/>
  <c r="G131" s="1"/>
  <c r="F98"/>
  <c r="H127"/>
  <c r="H131" s="1"/>
  <c r="F127"/>
  <c r="F131" s="1"/>
  <c r="I124"/>
  <c r="I126"/>
  <c r="I125"/>
  <c r="E78"/>
  <c r="F88" s="1"/>
  <c r="C100"/>
  <c r="D73"/>
  <c r="D101"/>
  <c r="C73"/>
  <c r="C74" s="1"/>
  <c r="C76" s="1"/>
  <c r="C78" s="1"/>
  <c r="D89" s="1"/>
  <c r="D91" s="1"/>
  <c r="D74"/>
  <c r="D76" s="1"/>
  <c r="D78" s="1"/>
  <c r="I131" l="1"/>
  <c r="D139" s="1"/>
  <c r="I127"/>
  <c r="C109"/>
  <c r="E88"/>
  <c r="G90"/>
  <c r="F87"/>
  <c r="C80"/>
  <c r="D138" s="1"/>
  <c r="E137" s="1"/>
  <c r="E145" s="1"/>
  <c r="F97"/>
  <c r="F100" s="1"/>
  <c r="E148" l="1"/>
  <c r="G88"/>
  <c r="E89"/>
  <c r="E91" s="1"/>
  <c r="F89"/>
  <c r="G87"/>
  <c r="D109" l="1"/>
  <c r="D108"/>
  <c r="F91"/>
  <c r="E106" s="1"/>
  <c r="G89"/>
  <c r="E109" l="1"/>
  <c r="F109" s="1"/>
  <c r="F116" s="1"/>
  <c r="E108"/>
  <c r="F108" s="1"/>
  <c r="F115" s="1"/>
  <c r="G91"/>
  <c r="E107" l="1"/>
  <c r="F107" s="1"/>
  <c r="F110" l="1"/>
  <c r="F114"/>
</calcChain>
</file>

<file path=xl/sharedStrings.xml><?xml version="1.0" encoding="utf-8"?>
<sst xmlns="http://schemas.openxmlformats.org/spreadsheetml/2006/main" count="260" uniqueCount="189">
  <si>
    <t>PRODUCTO</t>
  </si>
  <si>
    <t>VENTAS 2012</t>
  </si>
  <si>
    <t>% INC.P/2013</t>
  </si>
  <si>
    <t>ALFA</t>
  </si>
  <si>
    <t>BETA</t>
  </si>
  <si>
    <t>GAMMA</t>
  </si>
  <si>
    <t>EPSILON</t>
  </si>
  <si>
    <t>Bodegas del Danubio, S.A.</t>
  </si>
  <si>
    <t>Programa de produccion</t>
  </si>
  <si>
    <t>Productos</t>
  </si>
  <si>
    <t>Ventas año anterior</t>
  </si>
  <si>
    <t>Inventarios Iniciales</t>
  </si>
  <si>
    <t>Ventas Pronosticadas</t>
  </si>
  <si>
    <t>Inventario Seguridad</t>
  </si>
  <si>
    <t>Vino Seco</t>
  </si>
  <si>
    <t>Vino Semiseco</t>
  </si>
  <si>
    <t>Vino tinto</t>
  </si>
  <si>
    <t>% de Incremento</t>
  </si>
  <si>
    <t>producción requerida</t>
  </si>
  <si>
    <t>PV</t>
  </si>
  <si>
    <t>=</t>
  </si>
  <si>
    <t>V</t>
  </si>
  <si>
    <t>F</t>
  </si>
  <si>
    <t>presupuesto de Ventas</t>
  </si>
  <si>
    <t>Ventas del año anterior</t>
  </si>
  <si>
    <t>Factores especificos de ventas</t>
  </si>
  <si>
    <t>b = Factores de Cambio</t>
  </si>
  <si>
    <t>a = Factores de Ajuste</t>
  </si>
  <si>
    <t>c = Factores Corrientes de crecimiento</t>
  </si>
  <si>
    <t>E</t>
  </si>
  <si>
    <t>Fuerzas economicas generales</t>
  </si>
  <si>
    <t>(% estimado de realización, previsto por economistas)</t>
  </si>
  <si>
    <t>A</t>
  </si>
  <si>
    <t>Influencia Administrativa</t>
  </si>
  <si>
    <t>(% estimado de realización por la administracion de la empresa)</t>
  </si>
  <si>
    <t>PV = [ ( V +/-  F )  E ] A</t>
  </si>
  <si>
    <t>VENTAS DEL EJERCICIO ANTERIOR</t>
  </si>
  <si>
    <t>+ / - FACTORES ESPECIFICOS DE VENTAS:</t>
  </si>
  <si>
    <t xml:space="preserve">              a) De ajuste</t>
  </si>
  <si>
    <t xml:space="preserve">              b) De cambio</t>
  </si>
  <si>
    <t xml:space="preserve">              c) Corrientes de crecimiento</t>
  </si>
  <si>
    <t>PRESUPUESTO CON FACTORES ESPECIFICOS DE VENTAS</t>
  </si>
  <si>
    <t>FACTORES ECONOMICOS:</t>
  </si>
  <si>
    <t>PRESUPUESTO HASTA FACTORES ECONÓMICOS GENERALES</t>
  </si>
  <si>
    <t>FACTORES POR INFLUENCIA ADMINISTRATIVA:</t>
  </si>
  <si>
    <t>PRESUPUESTO DE VENTAS DEL NUEVO EJERCICIO</t>
  </si>
  <si>
    <t>PRESUPUESTO DE VENTAS</t>
  </si>
  <si>
    <t>INVENTARIOS INICIALES</t>
  </si>
  <si>
    <t>INVENTARIOS FINALES</t>
  </si>
  <si>
    <t>=E+G-F</t>
  </si>
  <si>
    <t>VENTAS PRESUPUESTADAS</t>
  </si>
  <si>
    <t>+  INVENTARIO FINAL REQUERIDO</t>
  </si>
  <si>
    <t>= UNIDADES REQUERIDAS</t>
  </si>
  <si>
    <t>-  INVENTARIO INICIAL DISPONIBLE</t>
  </si>
  <si>
    <t>=  PRODUCCION REQUERIDA</t>
  </si>
  <si>
    <t>ROTACIÓN DE INVENTARIOS</t>
  </si>
  <si>
    <t>PRODUCCION REQUERIDA</t>
  </si>
  <si>
    <t>= D+G-F</t>
  </si>
  <si>
    <r>
      <t xml:space="preserve">VENTAS </t>
    </r>
    <r>
      <rPr>
        <sz val="7"/>
        <color rgb="FF0000FF"/>
        <rFont val="Calibri"/>
        <family val="2"/>
      </rPr>
      <t>PRONOSTICADAS</t>
    </r>
  </si>
  <si>
    <t>costo Total</t>
  </si>
  <si>
    <t>imprevistos</t>
  </si>
  <si>
    <t>recreacion</t>
  </si>
  <si>
    <t>alimentacion</t>
  </si>
  <si>
    <t>boletos foraneos</t>
  </si>
  <si>
    <t>Alquiler de automovil</t>
  </si>
  <si>
    <t>alojamiento</t>
  </si>
  <si>
    <t>Costo global por persona:</t>
  </si>
  <si>
    <r>
      <rPr>
        <b/>
        <sz val="11"/>
        <color theme="1"/>
        <rFont val="Tw Cen MT"/>
        <family val="2"/>
        <scheme val="minor"/>
      </rPr>
      <t xml:space="preserve">Cuota de imprevistos </t>
    </r>
    <r>
      <rPr>
        <sz val="11"/>
        <color theme="1"/>
        <rFont val="Tw Cen MT"/>
        <family val="2"/>
        <scheme val="minor"/>
      </rPr>
      <t>por persona   $  200.00</t>
    </r>
  </si>
  <si>
    <r>
      <rPr>
        <b/>
        <sz val="11"/>
        <color theme="1"/>
        <rFont val="Tw Cen MT"/>
        <family val="2"/>
        <scheme val="minor"/>
      </rPr>
      <t>costo de recreacion x persona</t>
    </r>
    <r>
      <rPr>
        <sz val="11"/>
        <color theme="1"/>
        <rFont val="Tw Cen MT"/>
        <family val="2"/>
        <scheme val="minor"/>
      </rPr>
      <t xml:space="preserve"> durante el viaje  $  700.00</t>
    </r>
  </si>
  <si>
    <r>
      <rPr>
        <b/>
        <sz val="11"/>
        <color theme="1"/>
        <rFont val="Tw Cen MT"/>
        <family val="2"/>
        <scheme val="minor"/>
      </rPr>
      <t xml:space="preserve">costo de alimentación </t>
    </r>
    <r>
      <rPr>
        <sz val="11"/>
        <color theme="1"/>
        <rFont val="Tw Cen MT"/>
        <family val="2"/>
        <scheme val="minor"/>
      </rPr>
      <t>=   $ 350.00 diarios x 10 días = $  3,500.00</t>
    </r>
  </si>
  <si>
    <r>
      <rPr>
        <b/>
        <sz val="11"/>
        <color theme="1"/>
        <rFont val="Tw Cen MT"/>
        <family val="2"/>
        <scheme val="minor"/>
      </rPr>
      <t>costo de transporte foráneo</t>
    </r>
    <r>
      <rPr>
        <sz val="11"/>
        <color theme="1"/>
        <rFont val="Tw Cen MT"/>
        <family val="2"/>
        <scheme val="minor"/>
      </rPr>
      <t xml:space="preserve"> x persona = $ 280.00 x dos boletos=  $ 560.00</t>
    </r>
  </si>
  <si>
    <t>costo del alquiler por persona = 12 000/ 40 personas =  $ 300.00</t>
  </si>
  <si>
    <t>valor del alquiler por auto =  $ 150 diarios X 8 autos X 10 dias =  $ 12,000.00</t>
  </si>
  <si>
    <t>numero de automoviles a alquilar: 40 personas/5 personas x auto = 8 autos</t>
  </si>
  <si>
    <t>servicio de alquiler de automovil</t>
  </si>
  <si>
    <t>costo de alojamiento por persona =  $ 1,625.00</t>
  </si>
  <si>
    <t>costo de 10 noches de estancia= 10 hab X $ 650 x noche X 10 noches = $  65,000.00</t>
  </si>
  <si>
    <t xml:space="preserve"> 40 personas /4 personas x habitación= 10 habitaciones</t>
  </si>
  <si>
    <t>no. De habitaciones requeridas:</t>
  </si>
  <si>
    <t>servicio de hospedaje</t>
  </si>
  <si>
    <t>SALDO INICIAL DE EFECTIVO</t>
  </si>
  <si>
    <t>CONCEPTO</t>
  </si>
  <si>
    <t>PARCIAL</t>
  </si>
  <si>
    <t>IMPORTE</t>
  </si>
  <si>
    <t xml:space="preserve">+ </t>
  </si>
  <si>
    <t>ENTRADAS DE EFECTIVO</t>
  </si>
  <si>
    <t>VENTAS AL CONTADO</t>
  </si>
  <si>
    <t>RECUPERACION DE CARTERA</t>
  </si>
  <si>
    <t>REC.DE CARTERA DEL MISMO EJERCICIO</t>
  </si>
  <si>
    <t>-</t>
  </si>
  <si>
    <t>DISPONIBILIDAD DE EFECTIVO</t>
  </si>
  <si>
    <t>SALIDAS DE EFECTIVO</t>
  </si>
  <si>
    <t>COMPRA DE MATERIALES</t>
  </si>
  <si>
    <t>COSTO DE MANO DE OBRA DIRECTA</t>
  </si>
  <si>
    <t>GASTOS DE ADMÓN. Y VENTAS</t>
  </si>
  <si>
    <t>PAGO DE OBLIGACIONES POR PAG. DEL EJERCICIO ANTERIOR</t>
  </si>
  <si>
    <t>AMORTIZACION DE OBLIGACIONES BANCS</t>
  </si>
  <si>
    <t>COSTOS INDIRECTOS DE FABRICACION 
(SIN CONSIDERAR LA DEPRECIACIÓN)</t>
  </si>
  <si>
    <t>CANCELACION DE INTERESES</t>
  </si>
  <si>
    <t>RECONOCIMIENTO DE DIVIDENDOS</t>
  </si>
  <si>
    <t xml:space="preserve">= </t>
  </si>
  <si>
    <t>SALDO FINAL DE EFECTIVO</t>
  </si>
  <si>
    <t>SOLUCIÓN EJERCICIO 3</t>
  </si>
  <si>
    <t>CEDULA 1</t>
  </si>
  <si>
    <t>PRODUCTOS</t>
  </si>
  <si>
    <t>CANTIDADES</t>
  </si>
  <si>
    <t>PRECIOS</t>
  </si>
  <si>
    <t>VENTAS ESTIMADAS</t>
  </si>
  <si>
    <t>ENSUEÑO</t>
  </si>
  <si>
    <t>REFLEJO</t>
  </si>
  <si>
    <t>PARAISO</t>
  </si>
  <si>
    <t>TOTALES</t>
  </si>
  <si>
    <t>CEDULA 2</t>
  </si>
  <si>
    <t xml:space="preserve">PRESUPUESTO DE PRODUCCIÓN </t>
  </si>
  <si>
    <t>Para concretar el presupuesto de Producción, se consideran tres factores:</t>
  </si>
  <si>
    <t xml:space="preserve">- la politica sobre inventatio final </t>
  </si>
  <si>
    <t>- las unidades existentes al comienzo del periodo,</t>
  </si>
  <si>
    <t>- el estimativo de ventas, y</t>
  </si>
  <si>
    <t>la formula para la determinación sería:</t>
  </si>
  <si>
    <t>+  INVENTARIO FINAL DESEADO</t>
  </si>
  <si>
    <t xml:space="preserve">+ INVENTARIO FINAL </t>
  </si>
  <si>
    <t>- INVENTARIO INICIAL</t>
  </si>
  <si>
    <t>= PRODUCCIÓN ESTIMADA</t>
  </si>
  <si>
    <t>CEDULA 3.</t>
  </si>
  <si>
    <t>PRODUCCIÓN ESTIMADA</t>
  </si>
  <si>
    <t>ESTÁNDAR DE CONSUMO X PRODUCTO</t>
  </si>
  <si>
    <t>B</t>
  </si>
  <si>
    <t>C</t>
  </si>
  <si>
    <t>CONSUMO CALCULADO X PRODUCTO</t>
  </si>
  <si>
    <t>(PRODUCCION ESTIMADA X ESTANDARES DE CONSUMO)</t>
  </si>
  <si>
    <t xml:space="preserve">CEDULA 4. </t>
  </si>
  <si>
    <t>PRESUPUESTO DE COMPRAS DE MATERIA PRIMA</t>
  </si>
  <si>
    <t>INVENTARIOS</t>
  </si>
  <si>
    <t xml:space="preserve">Y </t>
  </si>
  <si>
    <t>ESTANDARES DE CONSUMO</t>
  </si>
  <si>
    <t>MATERIA PRIMA A CONSUMIR EN UNIDADES</t>
  </si>
  <si>
    <t>NIVEL DE INVENTARIO FINAL EXIGIDO</t>
  </si>
  <si>
    <t>4,1 Ppto de compras</t>
  </si>
  <si>
    <t>Concepto</t>
  </si>
  <si>
    <t>X</t>
  </si>
  <si>
    <t>Y</t>
  </si>
  <si>
    <t>Z</t>
  </si>
  <si>
    <t xml:space="preserve"> + consumos previstos</t>
  </si>
  <si>
    <t xml:space="preserve"> Unidades a comprar</t>
  </si>
  <si>
    <t xml:space="preserve"> x Precio compra</t>
  </si>
  <si>
    <t>Ppto de compras</t>
  </si>
  <si>
    <t>Ppto de compras total</t>
  </si>
  <si>
    <t xml:space="preserve"> - Inventario Inicial</t>
  </si>
  <si>
    <t>INVENTARIO FINAL P/PRODUC. DE:</t>
  </si>
  <si>
    <t>4,2 Ppto de consumo</t>
  </si>
  <si>
    <t>TOTAL</t>
  </si>
  <si>
    <t xml:space="preserve"> + Ppto de compras</t>
  </si>
  <si>
    <t>Presupuesto de consumo</t>
  </si>
  <si>
    <t>Ppto de consumo por producto</t>
  </si>
  <si>
    <t>Precio promedio: Ppto de consumo / consumos calculados</t>
  </si>
  <si>
    <t>Costo promedio de materias primas</t>
  </si>
  <si>
    <t>Inventario Inicial</t>
  </si>
  <si>
    <t>Costo unitario a enero 1</t>
  </si>
  <si>
    <t xml:space="preserve"> = Valor del Inventario disponible</t>
  </si>
  <si>
    <t>- valor del Inventario final</t>
  </si>
  <si>
    <t xml:space="preserve">PRESUPUESTO DE CONSUMO </t>
  </si>
  <si>
    <t xml:space="preserve">Para determinar el presupuesto de compras, primero debemos determinar los niveles de inventarios finales de acuerdo con la politica aplicable, para lo cual elaboramos la siguiente cedula </t>
  </si>
  <si>
    <t>Inventario Final esperado</t>
  </si>
  <si>
    <t xml:space="preserve"> = necesidades totales de MP</t>
  </si>
  <si>
    <t>=  valor del Inventario inicial</t>
  </si>
  <si>
    <t>total</t>
  </si>
  <si>
    <t>PM</t>
  </si>
  <si>
    <t>CONSUMO CALCULADO A PRECIO PROM</t>
  </si>
  <si>
    <t>UNIDADES DE PROD.REQUERIDA</t>
  </si>
  <si>
    <t>CONSUMO CALC</t>
  </si>
  <si>
    <t>PREC PROM</t>
  </si>
  <si>
    <t>Cédula 5</t>
  </si>
  <si>
    <t>Costo MO Directa</t>
  </si>
  <si>
    <t>Producc requerida</t>
  </si>
  <si>
    <t>Total</t>
  </si>
  <si>
    <t>Totales</t>
  </si>
  <si>
    <t>Costo estimado por hora</t>
  </si>
  <si>
    <t>Costo previsto por  depto</t>
  </si>
  <si>
    <t>Exigencias estimadas en horas</t>
  </si>
  <si>
    <t>Horas x Depto</t>
  </si>
  <si>
    <t xml:space="preserve">Costo de Insumos Directos </t>
  </si>
  <si>
    <t>Mano de Obra</t>
  </si>
  <si>
    <t>Costos Indirectos de Fabricación Fijos</t>
  </si>
  <si>
    <t>Gastos indirectos de Fabricación variables</t>
  </si>
  <si>
    <t>Costo de producción</t>
  </si>
  <si>
    <t>COSTO DE VENTAS</t>
  </si>
  <si>
    <t>Materia prima</t>
  </si>
  <si>
    <t>inventario inicial de productos terminados</t>
  </si>
  <si>
    <t>inventario final de productos terminados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</si>
</sst>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3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b/>
      <sz val="12"/>
      <color rgb="FFFF0000"/>
      <name val="Tw Cen MT"/>
      <family val="2"/>
      <scheme val="minor"/>
    </font>
    <font>
      <b/>
      <u/>
      <sz val="12"/>
      <color rgb="FF0070C0"/>
      <name val="Tw Cen MT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7"/>
      <color rgb="FF0000FF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theme="1"/>
      <name val="Tw Cen MT"/>
      <family val="2"/>
      <scheme val="minor"/>
    </font>
    <font>
      <sz val="11"/>
      <color indexed="9"/>
      <name val="Calibri"/>
      <family val="2"/>
    </font>
    <font>
      <b/>
      <sz val="11"/>
      <color indexed="8"/>
      <name val="Tw Cen MT"/>
      <family val="2"/>
      <scheme val="minor"/>
    </font>
    <font>
      <b/>
      <sz val="11"/>
      <color indexed="9"/>
      <name val="Tw Cen MT"/>
      <family val="2"/>
      <scheme val="minor"/>
    </font>
    <font>
      <sz val="11"/>
      <color indexed="9"/>
      <name val="Tw Cen MT"/>
      <family val="2"/>
      <scheme val="minor"/>
    </font>
    <font>
      <b/>
      <sz val="10"/>
      <color indexed="8"/>
      <name val="Tw Cen MT"/>
      <family val="2"/>
      <scheme val="minor"/>
    </font>
    <font>
      <b/>
      <sz val="9"/>
      <color indexed="9"/>
      <name val="Tw Cen MT"/>
      <family val="2"/>
      <scheme val="minor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164" fontId="0" fillId="0" borderId="0" xfId="3" applyNumberFormat="1" applyFont="1"/>
    <xf numFmtId="0" fontId="2" fillId="0" borderId="0" xfId="2" applyAlignment="1">
      <alignment horizontal="center" vertical="center"/>
    </xf>
    <xf numFmtId="164" fontId="0" fillId="0" borderId="0" xfId="3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 wrapText="1"/>
    </xf>
    <xf numFmtId="164" fontId="0" fillId="0" borderId="0" xfId="2" applyNumberFormat="1" applyFont="1" applyFill="1"/>
    <xf numFmtId="9" fontId="0" fillId="0" borderId="0" xfId="1" applyFont="1" applyAlignment="1">
      <alignment horizontal="center"/>
    </xf>
    <xf numFmtId="164" fontId="3" fillId="2" borderId="1" xfId="3" applyNumberFormat="1" applyFont="1" applyFill="1" applyBorder="1"/>
    <xf numFmtId="43" fontId="0" fillId="0" borderId="0" xfId="3" applyNumberFormat="1" applyFont="1"/>
    <xf numFmtId="43" fontId="3" fillId="2" borderId="1" xfId="3" applyNumberFormat="1" applyFont="1" applyFill="1" applyBorder="1"/>
    <xf numFmtId="0" fontId="0" fillId="0" borderId="4" xfId="0" applyBorder="1"/>
    <xf numFmtId="0" fontId="0" fillId="0" borderId="0" xfId="0" applyAlignment="1"/>
    <xf numFmtId="0" fontId="0" fillId="0" borderId="0" xfId="0" applyBorder="1"/>
    <xf numFmtId="0" fontId="4" fillId="0" borderId="0" xfId="0" applyFont="1"/>
    <xf numFmtId="0" fontId="4" fillId="0" borderId="0" xfId="0" quotePrefix="1" applyFont="1"/>
    <xf numFmtId="164" fontId="6" fillId="0" borderId="0" xfId="3" quotePrefix="1" applyNumberFormat="1" applyFont="1" applyAlignment="1">
      <alignment horizontal="center" vertical="center" wrapText="1"/>
    </xf>
    <xf numFmtId="164" fontId="0" fillId="0" borderId="0" xfId="3" quotePrefix="1" applyNumberFormat="1" applyFont="1"/>
    <xf numFmtId="0" fontId="7" fillId="0" borderId="0" xfId="2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8" fillId="0" borderId="0" xfId="3" applyNumberFormat="1" applyFont="1"/>
    <xf numFmtId="164" fontId="8" fillId="0" borderId="0" xfId="3" quotePrefix="1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1" fillId="3" borderId="0" xfId="0" applyFont="1" applyFill="1"/>
    <xf numFmtId="1" fontId="12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9" fontId="13" fillId="4" borderId="0" xfId="0" applyNumberFormat="1" applyFont="1" applyFill="1" applyAlignment="1">
      <alignment horizontal="center"/>
    </xf>
    <xf numFmtId="10" fontId="13" fillId="4" borderId="0" xfId="0" applyNumberFormat="1" applyFont="1" applyFill="1" applyAlignment="1">
      <alignment horizontal="center"/>
    </xf>
    <xf numFmtId="43" fontId="4" fillId="0" borderId="6" xfId="4" applyFont="1" applyBorder="1"/>
    <xf numFmtId="0" fontId="4" fillId="0" borderId="0" xfId="0" applyFont="1" applyAlignment="1">
      <alignment horizontal="right"/>
    </xf>
    <xf numFmtId="43" fontId="0" fillId="0" borderId="0" xfId="4" applyFont="1"/>
    <xf numFmtId="0" fontId="0" fillId="0" borderId="0" xfId="0" quotePrefix="1"/>
    <xf numFmtId="164" fontId="0" fillId="0" borderId="0" xfId="4" applyNumberFormat="1" applyFont="1"/>
    <xf numFmtId="164" fontId="4" fillId="0" borderId="0" xfId="4" applyNumberFormat="1" applyFont="1"/>
    <xf numFmtId="164" fontId="4" fillId="0" borderId="7" xfId="4" applyNumberFormat="1" applyFont="1" applyBorder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4" applyNumberFormat="1" applyFont="1" applyAlignment="1">
      <alignment horizontal="center"/>
    </xf>
    <xf numFmtId="164" fontId="4" fillId="0" borderId="6" xfId="4" applyNumberFormat="1" applyFont="1" applyBorder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4" fillId="0" borderId="6" xfId="0" applyNumberFormat="1" applyFont="1" applyBorder="1"/>
    <xf numFmtId="0" fontId="14" fillId="5" borderId="0" xfId="0" applyFont="1" applyFill="1"/>
    <xf numFmtId="0" fontId="0" fillId="0" borderId="0" xfId="0" quotePrefix="1" applyAlignment="1">
      <alignment horizontal="center" vertical="center" wrapText="1"/>
    </xf>
    <xf numFmtId="0" fontId="0" fillId="5" borderId="0" xfId="0" applyFill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0" fillId="0" borderId="0" xfId="0" applyNumberFormat="1"/>
    <xf numFmtId="0" fontId="3" fillId="0" borderId="8" xfId="0" applyFont="1" applyBorder="1" applyAlignment="1">
      <alignment horizontal="center"/>
    </xf>
    <xf numFmtId="43" fontId="0" fillId="0" borderId="0" xfId="0" applyNumberFormat="1"/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6" xfId="0" applyFont="1" applyBorder="1"/>
    <xf numFmtId="0" fontId="17" fillId="0" borderId="0" xfId="0" applyFont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165" fontId="0" fillId="0" borderId="8" xfId="0" applyNumberFormat="1" applyBorder="1"/>
    <xf numFmtId="165" fontId="0" fillId="0" borderId="18" xfId="0" applyNumberFormat="1" applyBorder="1"/>
    <xf numFmtId="0" fontId="0" fillId="0" borderId="8" xfId="0" applyBorder="1"/>
    <xf numFmtId="0" fontId="0" fillId="0" borderId="18" xfId="0" applyBorder="1"/>
    <xf numFmtId="0" fontId="17" fillId="0" borderId="19" xfId="0" applyFont="1" applyBorder="1" applyAlignment="1">
      <alignment horizontal="left"/>
    </xf>
    <xf numFmtId="0" fontId="0" fillId="0" borderId="3" xfId="0" applyBorder="1"/>
    <xf numFmtId="165" fontId="4" fillId="0" borderId="34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/>
    <xf numFmtId="165" fontId="0" fillId="0" borderId="18" xfId="0" applyNumberFormat="1" applyFont="1" applyBorder="1"/>
    <xf numFmtId="0" fontId="0" fillId="0" borderId="8" xfId="0" applyFont="1" applyBorder="1"/>
    <xf numFmtId="0" fontId="0" fillId="0" borderId="18" xfId="0" applyFont="1" applyBorder="1"/>
    <xf numFmtId="165" fontId="0" fillId="0" borderId="20" xfId="0" applyNumberFormat="1" applyFont="1" applyBorder="1"/>
    <xf numFmtId="165" fontId="0" fillId="0" borderId="21" xfId="0" applyNumberFormat="1" applyFont="1" applyBorder="1"/>
    <xf numFmtId="165" fontId="0" fillId="0" borderId="6" xfId="0" applyNumberFormat="1" applyFont="1" applyBorder="1"/>
    <xf numFmtId="0" fontId="0" fillId="0" borderId="0" xfId="0" applyFont="1" applyAlignment="1">
      <alignment horizontal="center"/>
    </xf>
    <xf numFmtId="165" fontId="0" fillId="0" borderId="3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27" xfId="0" applyFont="1" applyBorder="1"/>
    <xf numFmtId="165" fontId="0" fillId="0" borderId="0" xfId="0" applyNumberFormat="1" applyFont="1" applyBorder="1"/>
    <xf numFmtId="165" fontId="0" fillId="0" borderId="29" xfId="0" applyNumberFormat="1" applyFont="1" applyBorder="1"/>
    <xf numFmtId="165" fontId="0" fillId="0" borderId="31" xfId="0" applyNumberFormat="1" applyFont="1" applyBorder="1"/>
    <xf numFmtId="165" fontId="0" fillId="0" borderId="32" xfId="0" applyNumberFormat="1" applyFont="1" applyBorder="1"/>
    <xf numFmtId="165" fontId="0" fillId="0" borderId="26" xfId="0" applyNumberFormat="1" applyFont="1" applyBorder="1"/>
    <xf numFmtId="0" fontId="0" fillId="0" borderId="0" xfId="0" applyFont="1" applyBorder="1"/>
    <xf numFmtId="0" fontId="0" fillId="0" borderId="31" xfId="0" applyFont="1" applyBorder="1"/>
    <xf numFmtId="0" fontId="21" fillId="0" borderId="0" xfId="0" applyFont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3" fillId="6" borderId="22" xfId="0" applyFont="1" applyFill="1" applyBorder="1"/>
    <xf numFmtId="0" fontId="23" fillId="6" borderId="35" xfId="0" applyFont="1" applyFill="1" applyBorder="1"/>
    <xf numFmtId="0" fontId="21" fillId="0" borderId="8" xfId="0" applyFont="1" applyBorder="1" applyAlignment="1"/>
    <xf numFmtId="0" fontId="21" fillId="0" borderId="8" xfId="0" applyFont="1" applyBorder="1" applyAlignment="1">
      <alignment wrapText="1"/>
    </xf>
    <xf numFmtId="0" fontId="21" fillId="0" borderId="8" xfId="0" quotePrefix="1" applyFont="1" applyBorder="1" applyAlignment="1"/>
    <xf numFmtId="0" fontId="22" fillId="6" borderId="2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6" borderId="26" xfId="0" applyFont="1" applyFill="1" applyBorder="1" applyAlignment="1">
      <alignment horizontal="center" wrapText="1"/>
    </xf>
    <xf numFmtId="0" fontId="22" fillId="6" borderId="28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30" xfId="0" applyFont="1" applyFill="1" applyBorder="1" applyAlignment="1">
      <alignment horizontal="center"/>
    </xf>
    <xf numFmtId="0" fontId="22" fillId="6" borderId="31" xfId="0" applyFont="1" applyFill="1" applyBorder="1" applyAlignment="1">
      <alignment horizontal="center"/>
    </xf>
    <xf numFmtId="165" fontId="4" fillId="0" borderId="6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6" borderId="25" xfId="0" applyFont="1" applyFill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29" xfId="0" applyFont="1" applyBorder="1"/>
    <xf numFmtId="0" fontId="24" fillId="0" borderId="0" xfId="0" applyFont="1" applyBorder="1" applyAlignment="1">
      <alignment horizontal="center"/>
    </xf>
    <xf numFmtId="0" fontId="22" fillId="6" borderId="28" xfId="0" applyFont="1" applyFill="1" applyBorder="1" applyAlignment="1">
      <alignment horizontal="center" wrapText="1"/>
    </xf>
    <xf numFmtId="0" fontId="22" fillId="6" borderId="0" xfId="0" applyFont="1" applyFill="1" applyBorder="1" applyAlignment="1">
      <alignment horizontal="center" wrapText="1"/>
    </xf>
    <xf numFmtId="0" fontId="22" fillId="6" borderId="29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0" fontId="25" fillId="6" borderId="0" xfId="0" applyFont="1" applyFill="1" applyBorder="1" applyAlignment="1">
      <alignment horizontal="center"/>
    </xf>
    <xf numFmtId="0" fontId="25" fillId="6" borderId="0" xfId="0" quotePrefix="1" applyFont="1" applyFill="1" applyBorder="1" applyAlignment="1">
      <alignment horizontal="center"/>
    </xf>
    <xf numFmtId="0" fontId="25" fillId="6" borderId="31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165" fontId="0" fillId="0" borderId="37" xfId="0" applyNumberFormat="1" applyBorder="1"/>
    <xf numFmtId="165" fontId="0" fillId="0" borderId="38" xfId="0" applyNumberFormat="1" applyBorder="1"/>
    <xf numFmtId="0" fontId="17" fillId="0" borderId="0" xfId="0" applyFont="1" applyAlignment="1">
      <alignment horizontal="left"/>
    </xf>
    <xf numFmtId="165" fontId="4" fillId="0" borderId="8" xfId="0" applyNumberFormat="1" applyFont="1" applyBorder="1"/>
    <xf numFmtId="165" fontId="0" fillId="0" borderId="8" xfId="0" applyNumberFormat="1" applyBorder="1" applyAlignment="1"/>
    <xf numFmtId="165" fontId="4" fillId="0" borderId="8" xfId="0" applyNumberFormat="1" applyFont="1" applyBorder="1" applyAlignment="1"/>
    <xf numFmtId="0" fontId="17" fillId="0" borderId="2" xfId="0" applyFont="1" applyBorder="1" applyAlignment="1">
      <alignment horizontal="left"/>
    </xf>
    <xf numFmtId="0" fontId="0" fillId="0" borderId="13" xfId="0" applyBorder="1"/>
    <xf numFmtId="0" fontId="27" fillId="6" borderId="8" xfId="0" applyFont="1" applyFill="1" applyBorder="1" applyAlignment="1"/>
    <xf numFmtId="0" fontId="27" fillId="6" borderId="18" xfId="0" applyFont="1" applyFill="1" applyBorder="1" applyAlignment="1"/>
    <xf numFmtId="165" fontId="0" fillId="0" borderId="18" xfId="4" applyNumberFormat="1" applyFont="1" applyBorder="1"/>
    <xf numFmtId="0" fontId="0" fillId="0" borderId="17" xfId="0" applyBorder="1"/>
    <xf numFmtId="165" fontId="0" fillId="0" borderId="8" xfId="4" applyNumberFormat="1" applyFont="1" applyBorder="1"/>
    <xf numFmtId="165" fontId="30" fillId="0" borderId="8" xfId="4" applyNumberFormat="1" applyFont="1" applyBorder="1"/>
    <xf numFmtId="165" fontId="29" fillId="0" borderId="18" xfId="4" applyNumberFormat="1" applyFont="1" applyBorder="1"/>
    <xf numFmtId="0" fontId="0" fillId="0" borderId="19" xfId="0" applyBorder="1"/>
    <xf numFmtId="165" fontId="0" fillId="0" borderId="20" xfId="4" applyNumberFormat="1" applyFont="1" applyBorder="1"/>
    <xf numFmtId="166" fontId="0" fillId="0" borderId="21" xfId="4" applyNumberFormat="1" applyFont="1" applyBorder="1"/>
    <xf numFmtId="0" fontId="27" fillId="6" borderId="17" xfId="0" applyFont="1" applyFill="1" applyBorder="1" applyAlignment="1">
      <alignment horizontal="left"/>
    </xf>
    <xf numFmtId="0" fontId="28" fillId="0" borderId="17" xfId="0" applyFont="1" applyBorder="1"/>
    <xf numFmtId="0" fontId="18" fillId="0" borderId="1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165" fontId="20" fillId="0" borderId="8" xfId="4" applyNumberFormat="1" applyFont="1" applyFill="1" applyBorder="1"/>
    <xf numFmtId="0" fontId="4" fillId="0" borderId="17" xfId="0" applyFont="1" applyBorder="1"/>
    <xf numFmtId="165" fontId="4" fillId="0" borderId="8" xfId="4" applyNumberFormat="1" applyFont="1" applyBorder="1"/>
    <xf numFmtId="165" fontId="4" fillId="0" borderId="18" xfId="4" applyNumberFormat="1" applyFont="1" applyBorder="1"/>
    <xf numFmtId="0" fontId="29" fillId="0" borderId="17" xfId="0" applyFont="1" applyBorder="1" applyAlignment="1">
      <alignment horizontal="left"/>
    </xf>
    <xf numFmtId="43" fontId="0" fillId="0" borderId="8" xfId="0" applyNumberForma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2" fillId="6" borderId="28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36" xfId="0" applyFont="1" applyFill="1" applyBorder="1" applyAlignment="1">
      <alignment horizontal="center"/>
    </xf>
    <xf numFmtId="0" fontId="22" fillId="6" borderId="33" xfId="0" applyFont="1" applyFill="1" applyBorder="1" applyAlignment="1">
      <alignment horizontal="center"/>
    </xf>
    <xf numFmtId="0" fontId="22" fillId="6" borderId="25" xfId="0" applyFont="1" applyFill="1" applyBorder="1" applyAlignment="1">
      <alignment horizontal="center" wrapText="1"/>
    </xf>
    <xf numFmtId="0" fontId="22" fillId="6" borderId="26" xfId="0" applyFont="1" applyFill="1" applyBorder="1" applyAlignment="1">
      <alignment horizontal="center" wrapText="1"/>
    </xf>
    <xf numFmtId="0" fontId="22" fillId="6" borderId="27" xfId="0" applyFont="1" applyFill="1" applyBorder="1" applyAlignment="1">
      <alignment horizontal="center" wrapText="1"/>
    </xf>
    <xf numFmtId="0" fontId="26" fillId="6" borderId="39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26" fillId="6" borderId="41" xfId="0" applyFont="1" applyFill="1" applyBorder="1" applyAlignment="1">
      <alignment horizontal="center"/>
    </xf>
    <xf numFmtId="0" fontId="22" fillId="6" borderId="23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21" fillId="0" borderId="8" xfId="0" applyFont="1" applyBorder="1" applyAlignment="1">
      <alignment wrapText="1"/>
    </xf>
  </cellXfs>
  <cellStyles count="5">
    <cellStyle name="Millares" xfId="4" builtinId="3"/>
    <cellStyle name="Millares 2" xfId="3"/>
    <cellStyle name="Normal" xfId="0" builtinId="0"/>
    <cellStyle name="Normal 2" xfId="2"/>
    <cellStyle name="Porcentual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minor"/>
      </font>
      <numFmt numFmtId="164" formatCode="_-* #,##0_-;\-* #,##0_-;_-* &quot;-&quot;??_-;_-@_-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minor"/>
      </font>
    </dxf>
    <dxf>
      <alignment horizontal="center" vertical="center" textRotation="0" indent="0" relativeIndent="255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114</xdr:row>
      <xdr:rowOff>0</xdr:rowOff>
    </xdr:from>
    <xdr:to>
      <xdr:col>5</xdr:col>
      <xdr:colOff>9525</xdr:colOff>
      <xdr:row>114</xdr:row>
      <xdr:rowOff>0</xdr:rowOff>
    </xdr:to>
    <xdr:cxnSp macro="">
      <xdr:nvCxnSpPr>
        <xdr:cNvPr id="3" name="2 Conector recto"/>
        <xdr:cNvCxnSpPr/>
      </xdr:nvCxnSpPr>
      <xdr:spPr>
        <a:xfrm>
          <a:off x="1781175" y="22031325"/>
          <a:ext cx="25527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B5:H9" totalsRowShown="0" headerRowDxfId="7" dataDxfId="6">
  <tableColumns count="7">
    <tableColumn id="1" name="Productos"/>
    <tableColumn id="2" name="Ventas año anterior" dataDxfId="5"/>
    <tableColumn id="7" name="% de Incremento" dataDxfId="4" dataCellStyle="Millares 2"/>
    <tableColumn id="4" name="Ventas Pronosticadas" dataDxfId="3"/>
    <tableColumn id="3" name="Inventarios Iniciales" dataDxfId="2" dataCellStyle="Normal 2"/>
    <tableColumn id="5" name="Inventario Seguridad" dataDxfId="1">
      <calculatedColumnFormula>E6*0.25</calculatedColumnFormula>
    </tableColumn>
    <tableColumn id="8" name="producción requerida" dataDxfId="0" dataCellStyle="Millares 2">
      <calculatedColumnFormula>E6+G6-F6</calculatedColumnFormula>
    </tableColumn>
  </tableColumns>
  <tableStyleInfo name="TableStyleMedium2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rmedio">
  <a:themeElements>
    <a:clrScheme name="Intermedio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Intermedio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Intermedio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2" workbookViewId="0">
      <selection activeCell="D23" sqref="D23"/>
    </sheetView>
  </sheetViews>
  <sheetFormatPr baseColWidth="10" defaultRowHeight="14.25"/>
  <cols>
    <col min="1" max="1" width="24.75" customWidth="1"/>
  </cols>
  <sheetData>
    <row r="1" spans="1:7">
      <c r="A1" s="15" t="s">
        <v>79</v>
      </c>
    </row>
    <row r="2" spans="1:7">
      <c r="A2" t="s">
        <v>78</v>
      </c>
    </row>
    <row r="3" spans="1:7">
      <c r="A3" t="s">
        <v>77</v>
      </c>
    </row>
    <row r="4" spans="1:7">
      <c r="A4" t="s">
        <v>76</v>
      </c>
      <c r="G4">
        <f>10*650*10</f>
        <v>65000</v>
      </c>
    </row>
    <row r="5" spans="1:7">
      <c r="A5" t="s">
        <v>75</v>
      </c>
      <c r="G5">
        <f>G4/40</f>
        <v>1625</v>
      </c>
    </row>
    <row r="7" spans="1:7">
      <c r="A7" s="15" t="s">
        <v>74</v>
      </c>
    </row>
    <row r="8" spans="1:7">
      <c r="A8" t="s">
        <v>73</v>
      </c>
    </row>
    <row r="9" spans="1:7">
      <c r="A9" t="s">
        <v>72</v>
      </c>
    </row>
    <row r="10" spans="1:7">
      <c r="A10" t="s">
        <v>71</v>
      </c>
    </row>
    <row r="12" spans="1:7">
      <c r="A12" t="s">
        <v>70</v>
      </c>
    </row>
    <row r="13" spans="1:7">
      <c r="A13" t="s">
        <v>69</v>
      </c>
    </row>
    <row r="14" spans="1:7">
      <c r="A14" t="s">
        <v>68</v>
      </c>
    </row>
    <row r="15" spans="1:7">
      <c r="A15" t="s">
        <v>67</v>
      </c>
    </row>
    <row r="17" spans="1:2">
      <c r="A17" s="15" t="s">
        <v>66</v>
      </c>
    </row>
    <row r="18" spans="1:2">
      <c r="A18" t="s">
        <v>65</v>
      </c>
      <c r="B18" s="35">
        <v>1625</v>
      </c>
    </row>
    <row r="19" spans="1:2">
      <c r="A19" t="s">
        <v>64</v>
      </c>
      <c r="B19" s="35">
        <v>300</v>
      </c>
    </row>
    <row r="20" spans="1:2">
      <c r="A20" t="s">
        <v>63</v>
      </c>
      <c r="B20" s="35">
        <v>560</v>
      </c>
    </row>
    <row r="21" spans="1:2">
      <c r="A21" t="s">
        <v>62</v>
      </c>
      <c r="B21" s="35">
        <v>3500</v>
      </c>
    </row>
    <row r="22" spans="1:2">
      <c r="A22" t="s">
        <v>61</v>
      </c>
      <c r="B22" s="35">
        <v>700</v>
      </c>
    </row>
    <row r="23" spans="1:2">
      <c r="A23" t="s">
        <v>60</v>
      </c>
      <c r="B23" s="35">
        <v>200</v>
      </c>
    </row>
    <row r="24" spans="1:2" ht="15" thickBot="1">
      <c r="A24" s="34" t="s">
        <v>59</v>
      </c>
      <c r="B24" s="33">
        <f>SUM(B18:B23)</f>
        <v>6885</v>
      </c>
    </row>
    <row r="25" spans="1:2" ht="15" thickTop="1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workbookViewId="0">
      <selection activeCell="C23" sqref="C23"/>
    </sheetView>
  </sheetViews>
  <sheetFormatPr baseColWidth="10" defaultRowHeight="15.75"/>
  <cols>
    <col min="1" max="1" width="11" style="2"/>
    <col min="2" max="2" width="14.375" style="2" customWidth="1"/>
    <col min="3" max="3" width="15.375" style="3" customWidth="1"/>
    <col min="4" max="4" width="11.75" style="3" customWidth="1"/>
    <col min="5" max="5" width="13.375" customWidth="1"/>
    <col min="6" max="6" width="13.625" style="3" customWidth="1"/>
    <col min="7" max="8" width="12.25" style="2" customWidth="1"/>
    <col min="9" max="16384" width="11" style="2"/>
  </cols>
  <sheetData>
    <row r="1" spans="2:8">
      <c r="E1" s="3"/>
      <c r="F1" s="2"/>
    </row>
    <row r="2" spans="2:8">
      <c r="B2" s="19" t="s">
        <v>7</v>
      </c>
      <c r="E2" s="3"/>
      <c r="F2" s="2"/>
    </row>
    <row r="3" spans="2:8">
      <c r="B3" s="19" t="s">
        <v>8</v>
      </c>
      <c r="E3" s="3"/>
      <c r="F3" s="2"/>
    </row>
    <row r="4" spans="2:8">
      <c r="E4" s="3"/>
      <c r="F4" s="2"/>
    </row>
    <row r="5" spans="2:8" ht="28.5">
      <c r="B5" s="4" t="s">
        <v>9</v>
      </c>
      <c r="C5" s="5" t="s">
        <v>10</v>
      </c>
      <c r="D5" s="5" t="s">
        <v>17</v>
      </c>
      <c r="E5" s="5" t="s">
        <v>12</v>
      </c>
      <c r="F5" s="5" t="s">
        <v>11</v>
      </c>
      <c r="G5" s="5" t="s">
        <v>13</v>
      </c>
      <c r="H5" s="5" t="s">
        <v>18</v>
      </c>
    </row>
    <row r="6" spans="2:8">
      <c r="B6" s="4"/>
      <c r="C6" s="6"/>
      <c r="D6" s="6"/>
      <c r="E6" s="6"/>
      <c r="F6" s="7"/>
      <c r="G6" s="8">
        <v>0.25</v>
      </c>
      <c r="H6" s="17" t="s">
        <v>49</v>
      </c>
    </row>
    <row r="7" spans="2:8">
      <c r="B7" s="2" t="s">
        <v>14</v>
      </c>
      <c r="C7" s="3">
        <v>2400</v>
      </c>
      <c r="D7" s="8">
        <v>0.05</v>
      </c>
      <c r="E7" s="3">
        <f>(C7*0.05)+C7</f>
        <v>2520</v>
      </c>
      <c r="F7" s="2">
        <v>300</v>
      </c>
      <c r="G7" s="3">
        <f>E7*0.25</f>
        <v>630</v>
      </c>
      <c r="H7" s="9">
        <f>E7+G7-F7</f>
        <v>2850</v>
      </c>
    </row>
    <row r="8" spans="2:8">
      <c r="B8" s="2" t="s">
        <v>15</v>
      </c>
      <c r="C8" s="3">
        <v>3200</v>
      </c>
      <c r="D8" s="8">
        <v>0.1</v>
      </c>
      <c r="E8" s="3">
        <f>(C8*0.1)+C8</f>
        <v>3520</v>
      </c>
      <c r="F8" s="2">
        <v>500</v>
      </c>
      <c r="G8" s="3">
        <f t="shared" ref="G8:G9" si="0">E8*0.25</f>
        <v>880</v>
      </c>
      <c r="H8" s="9">
        <f t="shared" ref="H8:H9" si="1">E8+G8-F8</f>
        <v>3900</v>
      </c>
    </row>
    <row r="9" spans="2:8">
      <c r="B9" s="2" t="s">
        <v>16</v>
      </c>
      <c r="C9" s="3">
        <v>3750</v>
      </c>
      <c r="D9" s="8">
        <v>0.15</v>
      </c>
      <c r="E9" s="10">
        <f>(C9*0.15)+C9</f>
        <v>4312.5</v>
      </c>
      <c r="F9" s="2">
        <v>800</v>
      </c>
      <c r="G9" s="10">
        <f t="shared" si="0"/>
        <v>1078.125</v>
      </c>
      <c r="H9" s="11">
        <f t="shared" si="1"/>
        <v>4590.625</v>
      </c>
    </row>
    <row r="12" spans="2:8">
      <c r="D12" s="3" t="s">
        <v>50</v>
      </c>
    </row>
    <row r="13" spans="2:8">
      <c r="D13" s="18" t="s">
        <v>51</v>
      </c>
    </row>
    <row r="14" spans="2:8">
      <c r="D14" s="18" t="s">
        <v>52</v>
      </c>
    </row>
    <row r="15" spans="2:8">
      <c r="D15" s="18" t="s">
        <v>53</v>
      </c>
    </row>
    <row r="16" spans="2:8">
      <c r="D16" s="18" t="s">
        <v>54</v>
      </c>
    </row>
  </sheetData>
  <pageMargins left="0.75" right="0.75" top="1" bottom="1" header="0.5" footer="0.5"/>
  <pageSetup paperSize="5" orientation="portrait" horizontalDpi="4294967292" verticalDpi="429496729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workbookViewId="0">
      <selection activeCell="C17" sqref="C17"/>
    </sheetView>
  </sheetViews>
  <sheetFormatPr baseColWidth="10" defaultRowHeight="15"/>
  <cols>
    <col min="1" max="1" width="11" style="20"/>
    <col min="2" max="2" width="12.5" style="20" customWidth="1"/>
    <col min="3" max="3" width="12.25" style="20" customWidth="1"/>
    <col min="4" max="4" width="12.75" style="20" customWidth="1"/>
    <col min="5" max="5" width="5" style="20" customWidth="1"/>
    <col min="6" max="7" width="13.25" style="20" customWidth="1"/>
    <col min="8" max="8" width="13.875" style="20" customWidth="1"/>
    <col min="9" max="9" width="3.5" style="20" customWidth="1"/>
    <col min="10" max="11" width="13.625" style="20" customWidth="1"/>
    <col min="12" max="16384" width="11" style="20"/>
  </cols>
  <sheetData>
    <row r="2" spans="1:10" ht="30">
      <c r="A2" s="26" t="s">
        <v>0</v>
      </c>
      <c r="B2" s="27" t="s">
        <v>1</v>
      </c>
      <c r="C2" s="27" t="s">
        <v>2</v>
      </c>
      <c r="D2" s="27" t="s">
        <v>58</v>
      </c>
      <c r="F2" s="27" t="s">
        <v>47</v>
      </c>
      <c r="G2" s="27" t="s">
        <v>48</v>
      </c>
      <c r="H2" s="27" t="s">
        <v>55</v>
      </c>
      <c r="I2" s="26"/>
      <c r="J2" s="27" t="s">
        <v>56</v>
      </c>
    </row>
    <row r="3" spans="1:10">
      <c r="F3" s="21"/>
      <c r="G3" s="21"/>
      <c r="H3" s="21"/>
      <c r="J3" s="22" t="s">
        <v>57</v>
      </c>
    </row>
    <row r="4" spans="1:10" ht="22.5" customHeight="1">
      <c r="A4" s="28" t="s">
        <v>3</v>
      </c>
      <c r="B4" s="30">
        <v>12000</v>
      </c>
      <c r="C4" s="31">
        <v>0.03</v>
      </c>
      <c r="D4" s="30">
        <f>(B4*C4)+B4</f>
        <v>12360</v>
      </c>
      <c r="F4" s="21">
        <v>1500</v>
      </c>
      <c r="G4" s="23">
        <f>TRUNC(D4/H4,0)+1</f>
        <v>275</v>
      </c>
      <c r="H4" s="21">
        <v>45</v>
      </c>
      <c r="J4" s="29">
        <f>D4+G4-F4</f>
        <v>11135</v>
      </c>
    </row>
    <row r="5" spans="1:10" ht="22.5" customHeight="1">
      <c r="A5" s="28" t="s">
        <v>4</v>
      </c>
      <c r="B5" s="30">
        <v>16000</v>
      </c>
      <c r="C5" s="31">
        <v>0.05</v>
      </c>
      <c r="D5" s="30">
        <f t="shared" ref="D5:D7" si="0">(B5*C5)+B5</f>
        <v>16800</v>
      </c>
      <c r="F5" s="21">
        <v>1300</v>
      </c>
      <c r="G5" s="23">
        <f t="shared" ref="G5:G6" si="1">TRUNC(D5/H5,0)</f>
        <v>560</v>
      </c>
      <c r="H5" s="21">
        <v>30</v>
      </c>
      <c r="J5" s="29">
        <f t="shared" ref="J5:J7" si="2">D5+G5-F5</f>
        <v>16060</v>
      </c>
    </row>
    <row r="6" spans="1:10" ht="22.5" customHeight="1">
      <c r="A6" s="28" t="s">
        <v>5</v>
      </c>
      <c r="B6" s="30">
        <v>8000</v>
      </c>
      <c r="C6" s="32">
        <v>7.4999999999999997E-2</v>
      </c>
      <c r="D6" s="30">
        <f t="shared" si="0"/>
        <v>8600</v>
      </c>
      <c r="F6" s="21">
        <v>1400</v>
      </c>
      <c r="G6" s="23">
        <f t="shared" si="1"/>
        <v>143</v>
      </c>
      <c r="H6" s="21">
        <v>60</v>
      </c>
      <c r="J6" s="29">
        <f t="shared" si="2"/>
        <v>7343</v>
      </c>
    </row>
    <row r="7" spans="1:10" ht="22.5" customHeight="1">
      <c r="A7" s="28" t="s">
        <v>6</v>
      </c>
      <c r="B7" s="30">
        <v>20000</v>
      </c>
      <c r="C7" s="31">
        <v>0.1</v>
      </c>
      <c r="D7" s="30">
        <f t="shared" si="0"/>
        <v>22000</v>
      </c>
      <c r="F7" s="21">
        <v>850</v>
      </c>
      <c r="G7" s="23">
        <f>TRUNC(D7/H7,0)+1</f>
        <v>1467</v>
      </c>
      <c r="H7" s="21">
        <v>15</v>
      </c>
      <c r="J7" s="29">
        <f t="shared" si="2"/>
        <v>22617</v>
      </c>
    </row>
    <row r="10" spans="1:10">
      <c r="A10" s="24" t="s">
        <v>50</v>
      </c>
    </row>
    <row r="11" spans="1:10">
      <c r="A11" s="25" t="s">
        <v>51</v>
      </c>
    </row>
    <row r="12" spans="1:10">
      <c r="A12" s="25" t="s">
        <v>52</v>
      </c>
    </row>
    <row r="13" spans="1:10">
      <c r="A13" s="25" t="s">
        <v>53</v>
      </c>
    </row>
    <row r="14" spans="1:10">
      <c r="A14" s="25" t="s">
        <v>54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E10" sqref="E10"/>
    </sheetView>
  </sheetViews>
  <sheetFormatPr baseColWidth="10" defaultRowHeight="14.25"/>
  <cols>
    <col min="1" max="1" width="4.25" customWidth="1"/>
    <col min="2" max="2" width="3.5" customWidth="1"/>
    <col min="3" max="3" width="40.5" customWidth="1"/>
    <col min="4" max="4" width="13.375" customWidth="1"/>
    <col min="5" max="5" width="13.625" customWidth="1"/>
  </cols>
  <sheetData>
    <row r="1" spans="1:6" ht="18.75">
      <c r="A1" s="164" t="s">
        <v>46</v>
      </c>
      <c r="B1" s="164"/>
      <c r="C1" s="164"/>
      <c r="D1" s="164"/>
      <c r="E1" s="164"/>
      <c r="F1" s="164"/>
    </row>
    <row r="3" spans="1:6">
      <c r="C3" s="165" t="s">
        <v>35</v>
      </c>
      <c r="D3" s="166"/>
    </row>
    <row r="4" spans="1:6">
      <c r="A4" s="1" t="s">
        <v>19</v>
      </c>
      <c r="B4" s="1" t="s">
        <v>20</v>
      </c>
      <c r="C4" t="s">
        <v>23</v>
      </c>
    </row>
    <row r="5" spans="1:6">
      <c r="A5" s="1" t="s">
        <v>21</v>
      </c>
      <c r="B5" s="1" t="s">
        <v>20</v>
      </c>
      <c r="C5" t="s">
        <v>24</v>
      </c>
    </row>
    <row r="6" spans="1:6">
      <c r="A6" s="1" t="s">
        <v>22</v>
      </c>
      <c r="B6" s="1" t="s">
        <v>20</v>
      </c>
      <c r="C6" t="s">
        <v>25</v>
      </c>
    </row>
    <row r="7" spans="1:6">
      <c r="A7" s="1"/>
      <c r="B7" s="1"/>
      <c r="C7" t="s">
        <v>27</v>
      </c>
    </row>
    <row r="8" spans="1:6">
      <c r="A8" s="1"/>
      <c r="B8" s="1"/>
      <c r="C8" t="s">
        <v>26</v>
      </c>
    </row>
    <row r="9" spans="1:6">
      <c r="A9" s="1"/>
      <c r="B9" s="1"/>
      <c r="C9" t="s">
        <v>28</v>
      </c>
    </row>
    <row r="10" spans="1:6">
      <c r="A10" s="1" t="s">
        <v>29</v>
      </c>
      <c r="B10" s="1" t="s">
        <v>20</v>
      </c>
      <c r="C10" t="s">
        <v>30</v>
      </c>
    </row>
    <row r="11" spans="1:6">
      <c r="A11" s="1"/>
      <c r="B11" s="1"/>
      <c r="C11" s="167" t="s">
        <v>31</v>
      </c>
      <c r="D11" s="167"/>
    </row>
    <row r="12" spans="1:6">
      <c r="A12" s="1" t="s">
        <v>32</v>
      </c>
      <c r="B12" s="1" t="s">
        <v>20</v>
      </c>
      <c r="C12" t="s">
        <v>33</v>
      </c>
    </row>
    <row r="13" spans="1:6">
      <c r="A13" s="1"/>
      <c r="B13" s="1"/>
      <c r="C13" s="13" t="s">
        <v>34</v>
      </c>
      <c r="D13" s="13"/>
    </row>
    <row r="14" spans="1:6">
      <c r="A14" s="1"/>
      <c r="B14" s="1"/>
    </row>
    <row r="16" spans="1:6">
      <c r="C16" s="15" t="s">
        <v>36</v>
      </c>
    </row>
    <row r="18" spans="3:5">
      <c r="C18" s="16" t="s">
        <v>37</v>
      </c>
    </row>
    <row r="19" spans="3:5">
      <c r="C19" t="s">
        <v>38</v>
      </c>
    </row>
    <row r="20" spans="3:5">
      <c r="C20" t="s">
        <v>39</v>
      </c>
    </row>
    <row r="21" spans="3:5">
      <c r="C21" t="s">
        <v>40</v>
      </c>
      <c r="D21" s="12"/>
    </row>
    <row r="22" spans="3:5">
      <c r="E22" s="12"/>
    </row>
    <row r="23" spans="3:5">
      <c r="C23" s="168" t="s">
        <v>41</v>
      </c>
    </row>
    <row r="24" spans="3:5">
      <c r="C24" s="168"/>
    </row>
    <row r="27" spans="3:5">
      <c r="C27" s="15" t="s">
        <v>42</v>
      </c>
      <c r="D27" s="14"/>
    </row>
    <row r="28" spans="3:5" ht="17.25" customHeight="1">
      <c r="D28" s="14"/>
    </row>
    <row r="29" spans="3:5">
      <c r="D29" s="14"/>
      <c r="E29" s="12"/>
    </row>
    <row r="31" spans="3:5">
      <c r="C31" s="168" t="s">
        <v>43</v>
      </c>
    </row>
    <row r="32" spans="3:5">
      <c r="C32" s="168"/>
    </row>
    <row r="35" spans="3:5">
      <c r="C35" s="15" t="s">
        <v>44</v>
      </c>
    </row>
    <row r="37" spans="3:5">
      <c r="E37" s="12"/>
    </row>
    <row r="39" spans="3:5" ht="15" customHeight="1">
      <c r="C39" s="163" t="s">
        <v>45</v>
      </c>
      <c r="D39" s="163"/>
      <c r="E39" s="161"/>
    </row>
    <row r="40" spans="3:5" ht="15" thickBot="1">
      <c r="C40" s="163"/>
      <c r="D40" s="163"/>
      <c r="E40" s="162"/>
    </row>
    <row r="41" spans="3:5" ht="15" thickTop="1"/>
  </sheetData>
  <mergeCells count="7">
    <mergeCell ref="E39:E40"/>
    <mergeCell ref="C39:D40"/>
    <mergeCell ref="A1:F1"/>
    <mergeCell ref="C3:D3"/>
    <mergeCell ref="C11:D11"/>
    <mergeCell ref="C23:C24"/>
    <mergeCell ref="C31:C3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G17" sqref="G17"/>
    </sheetView>
  </sheetViews>
  <sheetFormatPr baseColWidth="10" defaultRowHeight="14.25"/>
  <cols>
    <col min="1" max="1" width="4.5" customWidth="1"/>
    <col min="2" max="2" width="35.75" customWidth="1"/>
    <col min="3" max="4" width="11.875" style="37" bestFit="1" customWidth="1"/>
  </cols>
  <sheetData>
    <row r="1" spans="1:4">
      <c r="B1" s="1" t="s">
        <v>81</v>
      </c>
      <c r="C1" s="43" t="s">
        <v>82</v>
      </c>
      <c r="D1" s="43" t="s">
        <v>83</v>
      </c>
    </row>
    <row r="4" spans="1:4">
      <c r="B4" s="15" t="s">
        <v>80</v>
      </c>
      <c r="C4" s="38"/>
      <c r="D4" s="38">
        <v>25506104</v>
      </c>
    </row>
    <row r="6" spans="1:4">
      <c r="A6" s="36" t="s">
        <v>84</v>
      </c>
      <c r="B6" s="15" t="s">
        <v>85</v>
      </c>
      <c r="C6" s="38"/>
      <c r="D6" s="38">
        <f>SUM(C7:C9)</f>
        <v>329900000</v>
      </c>
    </row>
    <row r="7" spans="1:4">
      <c r="B7" t="s">
        <v>86</v>
      </c>
      <c r="C7" s="37">
        <v>199200000</v>
      </c>
    </row>
    <row r="8" spans="1:4">
      <c r="B8" t="s">
        <v>87</v>
      </c>
      <c r="C8" s="37">
        <v>118800000</v>
      </c>
    </row>
    <row r="9" spans="1:4">
      <c r="B9" t="s">
        <v>88</v>
      </c>
      <c r="C9" s="37">
        <v>11900000</v>
      </c>
    </row>
    <row r="11" spans="1:4">
      <c r="B11" s="15" t="s">
        <v>90</v>
      </c>
      <c r="C11" s="38"/>
      <c r="D11" s="39">
        <f>D4+D6</f>
        <v>355406104</v>
      </c>
    </row>
    <row r="13" spans="1:4">
      <c r="A13" s="36" t="s">
        <v>89</v>
      </c>
      <c r="B13" s="15" t="s">
        <v>91</v>
      </c>
      <c r="D13" s="38">
        <f>SUM(C14:C22)</f>
        <v>330736108</v>
      </c>
    </row>
    <row r="14" spans="1:4">
      <c r="B14" t="s">
        <v>92</v>
      </c>
      <c r="C14" s="37">
        <v>110256420</v>
      </c>
    </row>
    <row r="15" spans="1:4">
      <c r="B15" s="40" t="s">
        <v>93</v>
      </c>
      <c r="C15" s="37">
        <v>29546000</v>
      </c>
    </row>
    <row r="16" spans="1:4">
      <c r="B16" s="40" t="s">
        <v>94</v>
      </c>
      <c r="C16" s="37">
        <v>68460000</v>
      </c>
    </row>
    <row r="17" spans="1:4" ht="30" customHeight="1">
      <c r="B17" s="42" t="s">
        <v>97</v>
      </c>
      <c r="C17" s="37">
        <v>60868203</v>
      </c>
    </row>
    <row r="18" spans="1:4" ht="28.5">
      <c r="B18" s="41" t="s">
        <v>95</v>
      </c>
      <c r="C18" s="37">
        <v>25200000</v>
      </c>
    </row>
    <row r="19" spans="1:4">
      <c r="B19" s="40" t="s">
        <v>96</v>
      </c>
      <c r="C19" s="37">
        <v>12200000</v>
      </c>
    </row>
    <row r="20" spans="1:4">
      <c r="B20" s="40" t="s">
        <v>98</v>
      </c>
      <c r="C20" s="37">
        <v>17630485</v>
      </c>
    </row>
    <row r="21" spans="1:4">
      <c r="B21" s="40" t="s">
        <v>99</v>
      </c>
      <c r="C21" s="37">
        <v>6575000</v>
      </c>
    </row>
    <row r="23" spans="1:4" ht="15" thickBot="1">
      <c r="A23" s="16" t="s">
        <v>100</v>
      </c>
      <c r="B23" s="15" t="s">
        <v>101</v>
      </c>
      <c r="C23" s="38"/>
      <c r="D23" s="44">
        <f>+D11-D13</f>
        <v>24669996</v>
      </c>
    </row>
    <row r="24" spans="1:4" ht="15" thickTop="1"/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110" zoomScaleNormal="110" workbookViewId="0">
      <selection activeCell="F142" sqref="F142"/>
    </sheetView>
  </sheetViews>
  <sheetFormatPr baseColWidth="10" defaultRowHeight="14.25"/>
  <cols>
    <col min="1" max="1" width="12.75" customWidth="1"/>
    <col min="2" max="2" width="11.875" customWidth="1"/>
    <col min="3" max="3" width="12.5" customWidth="1"/>
    <col min="4" max="4" width="12" customWidth="1"/>
    <col min="5" max="5" width="13.625" customWidth="1"/>
    <col min="6" max="6" width="12.75" bestFit="1" customWidth="1"/>
  </cols>
  <sheetData>
    <row r="1" spans="1:4">
      <c r="A1" t="s">
        <v>102</v>
      </c>
    </row>
    <row r="3" spans="1:4">
      <c r="A3" s="48" t="s">
        <v>103</v>
      </c>
      <c r="B3" s="48" t="s">
        <v>46</v>
      </c>
      <c r="C3" s="48"/>
    </row>
    <row r="6" spans="1:4" ht="28.5">
      <c r="A6" s="45" t="s">
        <v>104</v>
      </c>
      <c r="B6" s="45" t="s">
        <v>105</v>
      </c>
      <c r="C6" s="45" t="s">
        <v>106</v>
      </c>
      <c r="D6" s="45" t="s">
        <v>107</v>
      </c>
    </row>
    <row r="8" spans="1:4">
      <c r="A8" t="s">
        <v>108</v>
      </c>
      <c r="B8" s="37">
        <v>80000</v>
      </c>
      <c r="C8" s="37">
        <v>320</v>
      </c>
      <c r="D8" s="37">
        <f>B8*C8</f>
        <v>25600000</v>
      </c>
    </row>
    <row r="9" spans="1:4">
      <c r="A9" t="s">
        <v>109</v>
      </c>
      <c r="B9" s="37">
        <v>40000</v>
      </c>
      <c r="C9" s="37">
        <v>260</v>
      </c>
      <c r="D9" s="37">
        <f t="shared" ref="D9:D10" si="0">B9*C9</f>
        <v>10400000</v>
      </c>
    </row>
    <row r="10" spans="1:4">
      <c r="A10" t="s">
        <v>110</v>
      </c>
      <c r="B10" s="37">
        <v>60000</v>
      </c>
      <c r="C10" s="37">
        <v>200</v>
      </c>
      <c r="D10" s="37">
        <f t="shared" si="0"/>
        <v>12000000</v>
      </c>
    </row>
    <row r="11" spans="1:4">
      <c r="B11" s="37"/>
      <c r="C11" s="37"/>
      <c r="D11" s="37"/>
    </row>
    <row r="12" spans="1:4" ht="15" thickBot="1">
      <c r="A12" s="15" t="s">
        <v>111</v>
      </c>
      <c r="B12" s="15"/>
      <c r="C12" s="15"/>
      <c r="D12" s="47">
        <f>SUM(D8:D11)</f>
        <v>48000000</v>
      </c>
    </row>
    <row r="13" spans="1:4" ht="15" thickTop="1"/>
    <row r="16" spans="1:4">
      <c r="A16" s="48" t="s">
        <v>112</v>
      </c>
      <c r="B16" s="48" t="s">
        <v>113</v>
      </c>
      <c r="C16" s="48"/>
      <c r="D16" s="48"/>
    </row>
    <row r="18" spans="1:5">
      <c r="A18" t="s">
        <v>114</v>
      </c>
    </row>
    <row r="19" spans="1:5">
      <c r="A19" s="36" t="s">
        <v>116</v>
      </c>
    </row>
    <row r="20" spans="1:5">
      <c r="A20" s="36" t="s">
        <v>117</v>
      </c>
    </row>
    <row r="21" spans="1:5">
      <c r="A21" s="36" t="s">
        <v>115</v>
      </c>
    </row>
    <row r="23" spans="1:5">
      <c r="A23" t="s">
        <v>118</v>
      </c>
    </row>
    <row r="24" spans="1:5">
      <c r="A24" s="3" t="s">
        <v>50</v>
      </c>
    </row>
    <row r="25" spans="1:5">
      <c r="A25" s="18" t="s">
        <v>119</v>
      </c>
    </row>
    <row r="26" spans="1:5">
      <c r="A26" s="18" t="s">
        <v>52</v>
      </c>
    </row>
    <row r="27" spans="1:5">
      <c r="A27" s="18" t="s">
        <v>53</v>
      </c>
    </row>
    <row r="28" spans="1:5">
      <c r="A28" s="18" t="s">
        <v>54</v>
      </c>
    </row>
    <row r="30" spans="1:5" ht="42.75">
      <c r="A30" s="45" t="s">
        <v>104</v>
      </c>
      <c r="B30" s="45" t="s">
        <v>107</v>
      </c>
      <c r="C30" s="49" t="s">
        <v>120</v>
      </c>
      <c r="D30" s="49" t="s">
        <v>121</v>
      </c>
      <c r="E30" s="49" t="s">
        <v>122</v>
      </c>
    </row>
    <row r="32" spans="1:5">
      <c r="A32" t="s">
        <v>108</v>
      </c>
      <c r="B32" s="37">
        <v>80000</v>
      </c>
      <c r="C32" s="37">
        <f>80000/12*1</f>
        <v>6666.666666666667</v>
      </c>
      <c r="D32" s="37">
        <v>32000</v>
      </c>
      <c r="E32" s="46">
        <f>+B32+C32-D32</f>
        <v>54666.666666666672</v>
      </c>
    </row>
    <row r="33" spans="1:10">
      <c r="A33" t="s">
        <v>109</v>
      </c>
      <c r="B33" s="37">
        <v>40000</v>
      </c>
      <c r="C33" s="37">
        <f>(40000/12*1.5)</f>
        <v>5000</v>
      </c>
      <c r="D33" s="37">
        <v>12600</v>
      </c>
      <c r="E33" s="46">
        <f t="shared" ref="E33:E34" si="1">+B33+C33-D33</f>
        <v>32400</v>
      </c>
    </row>
    <row r="34" spans="1:10">
      <c r="A34" t="s">
        <v>110</v>
      </c>
      <c r="B34" s="37">
        <v>60000</v>
      </c>
      <c r="C34" s="37">
        <f>(60000*25%)</f>
        <v>15000</v>
      </c>
      <c r="D34" s="37">
        <v>18000</v>
      </c>
      <c r="E34" s="46">
        <f t="shared" si="1"/>
        <v>57000</v>
      </c>
    </row>
    <row r="35" spans="1:10">
      <c r="B35" s="37"/>
      <c r="C35" s="37"/>
      <c r="D35" s="37"/>
    </row>
    <row r="36" spans="1:10" ht="15" thickBot="1">
      <c r="A36" s="15" t="s">
        <v>111</v>
      </c>
      <c r="B36" s="15"/>
      <c r="C36" s="15"/>
      <c r="E36" s="47">
        <f>SUM(E32:E35)</f>
        <v>144066.66666666669</v>
      </c>
    </row>
    <row r="37" spans="1:10" ht="15" thickTop="1"/>
    <row r="41" spans="1:10">
      <c r="A41" s="48" t="s">
        <v>123</v>
      </c>
      <c r="B41" s="48" t="s">
        <v>160</v>
      </c>
      <c r="C41" s="48"/>
      <c r="D41" s="48"/>
      <c r="E41" s="50"/>
      <c r="F41" s="50"/>
    </row>
    <row r="43" spans="1:10">
      <c r="C43" s="169" t="s">
        <v>125</v>
      </c>
      <c r="D43" s="169"/>
      <c r="E43" s="169"/>
      <c r="F43" s="169" t="s">
        <v>128</v>
      </c>
      <c r="G43" s="169"/>
      <c r="H43" s="169"/>
      <c r="I43" s="170" t="s">
        <v>129</v>
      </c>
      <c r="J43" s="171"/>
    </row>
    <row r="44" spans="1:10" ht="25.5">
      <c r="A44" s="51" t="s">
        <v>104</v>
      </c>
      <c r="B44" s="51" t="s">
        <v>124</v>
      </c>
      <c r="C44" s="54" t="s">
        <v>32</v>
      </c>
      <c r="D44" s="54" t="s">
        <v>126</v>
      </c>
      <c r="E44" s="54" t="s">
        <v>127</v>
      </c>
      <c r="F44" s="54" t="s">
        <v>32</v>
      </c>
      <c r="G44" s="54" t="s">
        <v>126</v>
      </c>
      <c r="H44" s="54" t="s">
        <v>127</v>
      </c>
      <c r="I44" s="170"/>
      <c r="J44" s="171"/>
    </row>
    <row r="46" spans="1:10">
      <c r="A46" t="s">
        <v>108</v>
      </c>
      <c r="B46" s="46">
        <f>E32</f>
        <v>54666.666666666672</v>
      </c>
      <c r="C46">
        <v>0.25</v>
      </c>
      <c r="D46">
        <v>0.125</v>
      </c>
      <c r="E46" s="53">
        <v>0.2</v>
      </c>
      <c r="F46" s="55">
        <f>B46*C46</f>
        <v>13666.666666666668</v>
      </c>
      <c r="G46" s="55">
        <f>B46*D46</f>
        <v>6833.3333333333339</v>
      </c>
      <c r="H46" s="55">
        <f>B46*E46</f>
        <v>10933.333333333336</v>
      </c>
    </row>
    <row r="47" spans="1:10">
      <c r="A47" t="s">
        <v>109</v>
      </c>
      <c r="B47" s="46">
        <f t="shared" ref="B47:B48" si="2">E33</f>
        <v>32400</v>
      </c>
      <c r="C47">
        <v>0.15</v>
      </c>
      <c r="D47" s="53">
        <v>0.1</v>
      </c>
      <c r="E47">
        <v>0.15</v>
      </c>
      <c r="F47" s="55">
        <f t="shared" ref="F47:F48" si="3">B47*C47</f>
        <v>4860</v>
      </c>
      <c r="G47" s="55">
        <f t="shared" ref="G47:G48" si="4">B47*D47</f>
        <v>3240</v>
      </c>
      <c r="H47" s="55">
        <f t="shared" ref="H47:H48" si="5">B47*E47</f>
        <v>4860</v>
      </c>
    </row>
    <row r="48" spans="1:10">
      <c r="A48" t="s">
        <v>110</v>
      </c>
      <c r="B48" s="46">
        <f t="shared" si="2"/>
        <v>57000</v>
      </c>
      <c r="C48" s="53">
        <v>0.1</v>
      </c>
      <c r="D48">
        <v>0.05</v>
      </c>
      <c r="E48" s="53">
        <v>0.1</v>
      </c>
      <c r="F48" s="55">
        <f t="shared" si="3"/>
        <v>5700</v>
      </c>
      <c r="G48" s="55">
        <f t="shared" si="4"/>
        <v>2850</v>
      </c>
      <c r="H48" s="55">
        <f t="shared" si="5"/>
        <v>5700</v>
      </c>
    </row>
    <row r="50" spans="1:10" ht="15" thickBot="1">
      <c r="B50" s="47">
        <f>SUM(B46:B49)</f>
        <v>144066.66666666669</v>
      </c>
      <c r="F50" s="47">
        <f t="shared" ref="F50:H50" si="6">SUM(F46:F49)</f>
        <v>24226.666666666668</v>
      </c>
      <c r="G50" s="47">
        <f t="shared" si="6"/>
        <v>12923.333333333334</v>
      </c>
      <c r="H50" s="47">
        <f t="shared" si="6"/>
        <v>21493.333333333336</v>
      </c>
      <c r="I50" s="178" t="s">
        <v>135</v>
      </c>
      <c r="J50" s="178"/>
    </row>
    <row r="51" spans="1:10" ht="15" thickTop="1">
      <c r="I51" s="178"/>
      <c r="J51" s="178"/>
    </row>
    <row r="53" spans="1:10">
      <c r="A53" s="48" t="s">
        <v>130</v>
      </c>
      <c r="B53" s="48" t="s">
        <v>131</v>
      </c>
      <c r="C53" s="48"/>
      <c r="D53" s="48"/>
      <c r="E53" s="48"/>
    </row>
    <row r="55" spans="1:10">
      <c r="A55" s="172" t="s">
        <v>161</v>
      </c>
      <c r="B55" s="172"/>
      <c r="C55" s="172"/>
      <c r="D55" s="172"/>
      <c r="E55" s="172"/>
      <c r="F55" s="172"/>
      <c r="G55" s="172"/>
      <c r="H55" s="172"/>
    </row>
    <row r="56" spans="1:10">
      <c r="A56" s="172"/>
      <c r="B56" s="172"/>
      <c r="C56" s="172"/>
      <c r="D56" s="172"/>
      <c r="E56" s="172"/>
      <c r="F56" s="172"/>
      <c r="G56" s="172"/>
      <c r="H56" s="172"/>
    </row>
    <row r="58" spans="1:10">
      <c r="A58" s="56" t="s">
        <v>132</v>
      </c>
      <c r="B58" s="175" t="s">
        <v>148</v>
      </c>
      <c r="C58" s="173" t="s">
        <v>134</v>
      </c>
      <c r="D58" s="169"/>
      <c r="E58" s="169"/>
      <c r="F58" s="174" t="s">
        <v>136</v>
      </c>
      <c r="G58" s="174"/>
      <c r="H58" s="174"/>
    </row>
    <row r="59" spans="1:10" ht="15.75">
      <c r="A59" s="57" t="s">
        <v>133</v>
      </c>
      <c r="B59" s="176"/>
      <c r="C59" s="59" t="s">
        <v>32</v>
      </c>
      <c r="D59" s="54" t="s">
        <v>126</v>
      </c>
      <c r="E59" s="54" t="s">
        <v>127</v>
      </c>
      <c r="F59" s="59" t="s">
        <v>32</v>
      </c>
      <c r="G59" s="54" t="s">
        <v>126</v>
      </c>
      <c r="H59" s="54" t="s">
        <v>127</v>
      </c>
    </row>
    <row r="60" spans="1:10">
      <c r="A60" s="58" t="s">
        <v>104</v>
      </c>
      <c r="B60" s="177"/>
    </row>
    <row r="62" spans="1:10">
      <c r="A62" s="52" t="s">
        <v>108</v>
      </c>
      <c r="B62" s="1">
        <v>10800</v>
      </c>
      <c r="C62" s="1">
        <v>0.25</v>
      </c>
      <c r="D62" s="1">
        <v>0.125</v>
      </c>
      <c r="E62" s="61">
        <v>0.2</v>
      </c>
      <c r="F62">
        <f>B62*C62</f>
        <v>2700</v>
      </c>
      <c r="G62">
        <f>+B62*D62</f>
        <v>1350</v>
      </c>
      <c r="H62">
        <f>+B62*E62</f>
        <v>2160</v>
      </c>
    </row>
    <row r="63" spans="1:10">
      <c r="A63" s="52" t="s">
        <v>109</v>
      </c>
      <c r="B63" s="1">
        <v>9600</v>
      </c>
      <c r="C63" s="1">
        <v>0.15</v>
      </c>
      <c r="D63" s="61">
        <v>0.1</v>
      </c>
      <c r="E63" s="1">
        <v>0.15</v>
      </c>
      <c r="F63">
        <f t="shared" ref="F63:F64" si="7">B63*C63</f>
        <v>1440</v>
      </c>
      <c r="G63">
        <f t="shared" ref="G63:G64" si="8">B63*D63</f>
        <v>960</v>
      </c>
      <c r="H63">
        <f t="shared" ref="H63:H64" si="9">B63*E63</f>
        <v>1440</v>
      </c>
    </row>
    <row r="64" spans="1:10">
      <c r="A64" s="52" t="s">
        <v>110</v>
      </c>
      <c r="B64" s="1">
        <v>10000</v>
      </c>
      <c r="C64" s="61">
        <v>0.1</v>
      </c>
      <c r="D64" s="1">
        <v>0.05</v>
      </c>
      <c r="E64" s="61">
        <v>0.1</v>
      </c>
      <c r="F64">
        <f t="shared" si="7"/>
        <v>1000</v>
      </c>
      <c r="G64">
        <f t="shared" si="8"/>
        <v>500</v>
      </c>
      <c r="H64">
        <f t="shared" si="9"/>
        <v>1000</v>
      </c>
    </row>
    <row r="66" spans="1:8" ht="15" thickBot="1">
      <c r="F66" s="62">
        <f>SUM(F62:F65)</f>
        <v>5140</v>
      </c>
      <c r="G66" s="62">
        <f t="shared" ref="G66:H66" si="10">SUM(G62:G65)</f>
        <v>2810</v>
      </c>
      <c r="H66" s="62">
        <f t="shared" si="10"/>
        <v>4600</v>
      </c>
    </row>
    <row r="67" spans="1:8" ht="15" thickTop="1"/>
    <row r="69" spans="1:8">
      <c r="A69" s="97" t="s">
        <v>137</v>
      </c>
      <c r="B69" s="40"/>
      <c r="C69" s="40"/>
      <c r="D69" s="40"/>
      <c r="E69" s="40"/>
      <c r="F69" s="40"/>
      <c r="G69" s="40"/>
      <c r="H69" s="40"/>
    </row>
    <row r="70" spans="1:8" ht="15" thickBot="1">
      <c r="A70" s="40"/>
      <c r="B70" s="40"/>
      <c r="C70" s="40"/>
      <c r="D70" s="40"/>
      <c r="E70" s="40"/>
      <c r="F70" s="40"/>
      <c r="G70" s="40"/>
      <c r="H70" s="40"/>
    </row>
    <row r="71" spans="1:8">
      <c r="A71" s="189" t="s">
        <v>138</v>
      </c>
      <c r="B71" s="190"/>
      <c r="C71" s="98" t="s">
        <v>32</v>
      </c>
      <c r="D71" s="98" t="s">
        <v>126</v>
      </c>
      <c r="E71" s="99" t="s">
        <v>127</v>
      </c>
      <c r="F71" s="40"/>
      <c r="G71" s="40"/>
      <c r="H71" s="40"/>
    </row>
    <row r="72" spans="1:8">
      <c r="A72" s="100" t="s">
        <v>162</v>
      </c>
      <c r="B72" s="77"/>
      <c r="C72" s="78">
        <f>+F66</f>
        <v>5140</v>
      </c>
      <c r="D72" s="78">
        <f>+G66</f>
        <v>2810</v>
      </c>
      <c r="E72" s="79">
        <f>+H66</f>
        <v>4600</v>
      </c>
      <c r="F72" s="40"/>
      <c r="G72" s="40"/>
      <c r="H72" s="40"/>
    </row>
    <row r="73" spans="1:8">
      <c r="A73" s="100" t="s">
        <v>142</v>
      </c>
      <c r="B73" s="77"/>
      <c r="C73" s="78">
        <f>+F50</f>
        <v>24226.666666666668</v>
      </c>
      <c r="D73" s="78">
        <f>+G50</f>
        <v>12923.333333333334</v>
      </c>
      <c r="E73" s="79">
        <f>+H50</f>
        <v>21493.333333333336</v>
      </c>
      <c r="F73" s="40"/>
      <c r="G73" s="40"/>
      <c r="H73" s="40"/>
    </row>
    <row r="74" spans="1:8">
      <c r="A74" s="100" t="s">
        <v>163</v>
      </c>
      <c r="B74" s="77"/>
      <c r="C74" s="78">
        <f>+C72+C73</f>
        <v>29366.666666666668</v>
      </c>
      <c r="D74" s="78">
        <f>+D72+D73</f>
        <v>15733.333333333334</v>
      </c>
      <c r="E74" s="79">
        <f>+E72+E73</f>
        <v>26093.333333333336</v>
      </c>
      <c r="F74" s="40"/>
      <c r="G74" s="40"/>
      <c r="H74" s="40"/>
    </row>
    <row r="75" spans="1:8">
      <c r="A75" s="100" t="s">
        <v>147</v>
      </c>
      <c r="B75" s="77"/>
      <c r="C75" s="78">
        <v>5950</v>
      </c>
      <c r="D75" s="78">
        <v>3350</v>
      </c>
      <c r="E75" s="79">
        <v>3950</v>
      </c>
      <c r="F75" s="40"/>
      <c r="G75" s="40"/>
      <c r="H75" s="40"/>
    </row>
    <row r="76" spans="1:8">
      <c r="A76" s="100" t="s">
        <v>143</v>
      </c>
      <c r="B76" s="77"/>
      <c r="C76" s="78">
        <f>+C74-C75</f>
        <v>23416.666666666668</v>
      </c>
      <c r="D76" s="78">
        <f>+D74-D75</f>
        <v>12383.333333333334</v>
      </c>
      <c r="E76" s="79">
        <f>+E74-E75</f>
        <v>22143.333333333336</v>
      </c>
      <c r="F76" s="40"/>
      <c r="G76" s="40"/>
      <c r="H76" s="40"/>
    </row>
    <row r="77" spans="1:8">
      <c r="A77" s="100" t="s">
        <v>144</v>
      </c>
      <c r="B77" s="77"/>
      <c r="C77" s="115">
        <v>180</v>
      </c>
      <c r="D77" s="115">
        <v>280</v>
      </c>
      <c r="E77" s="116">
        <v>300</v>
      </c>
      <c r="F77" s="40"/>
      <c r="G77" s="40"/>
      <c r="H77" s="40"/>
    </row>
    <row r="78" spans="1:8" ht="15" thickBot="1">
      <c r="A78" s="100" t="s">
        <v>145</v>
      </c>
      <c r="B78" s="77"/>
      <c r="C78" s="82">
        <f>C76*C77</f>
        <v>4215000</v>
      </c>
      <c r="D78" s="82">
        <f>D76*D77</f>
        <v>3467333.3333333335</v>
      </c>
      <c r="E78" s="83">
        <f>E76*E77</f>
        <v>6643000.0000000009</v>
      </c>
      <c r="F78" s="40"/>
      <c r="G78" s="40"/>
      <c r="H78" s="40"/>
    </row>
    <row r="79" spans="1:8">
      <c r="A79" s="40"/>
      <c r="B79" s="40"/>
      <c r="C79" s="40"/>
      <c r="D79" s="40"/>
      <c r="E79" s="40"/>
      <c r="F79" s="40"/>
      <c r="G79" s="40"/>
      <c r="H79" s="40"/>
    </row>
    <row r="80" spans="1:8" ht="15" thickBot="1">
      <c r="A80" s="40" t="s">
        <v>146</v>
      </c>
      <c r="B80" s="40"/>
      <c r="C80" s="114">
        <f>+C78+D78+E78</f>
        <v>14325333.333333336</v>
      </c>
      <c r="D80" s="40"/>
      <c r="E80" s="40"/>
      <c r="F80" s="40"/>
      <c r="G80" s="40"/>
      <c r="H80" s="40"/>
    </row>
    <row r="81" spans="1:8" ht="15" thickTop="1">
      <c r="A81" s="40"/>
      <c r="B81" s="40"/>
      <c r="C81" s="40"/>
      <c r="D81" s="40"/>
      <c r="E81" s="40"/>
      <c r="F81" s="40"/>
      <c r="G81" s="40"/>
      <c r="H81" s="40"/>
    </row>
    <row r="82" spans="1:8">
      <c r="A82" s="40"/>
      <c r="B82" s="40"/>
      <c r="C82" s="40"/>
      <c r="D82" s="40"/>
      <c r="E82" s="40"/>
      <c r="F82" s="40"/>
      <c r="G82" s="40"/>
      <c r="H82" s="40"/>
    </row>
    <row r="83" spans="1:8" ht="15" thickBot="1">
      <c r="A83" s="85" t="s">
        <v>149</v>
      </c>
      <c r="B83" s="40"/>
      <c r="C83" s="40"/>
      <c r="D83" s="40"/>
      <c r="E83" s="40"/>
      <c r="F83" s="40"/>
      <c r="G83" s="40"/>
      <c r="H83" s="40"/>
    </row>
    <row r="84" spans="1:8">
      <c r="A84" s="101"/>
      <c r="B84" s="102"/>
      <c r="C84" s="102"/>
      <c r="D84" s="98" t="s">
        <v>32</v>
      </c>
      <c r="E84" s="98" t="s">
        <v>126</v>
      </c>
      <c r="F84" s="98" t="s">
        <v>127</v>
      </c>
      <c r="G84" s="99" t="s">
        <v>150</v>
      </c>
      <c r="H84" s="40"/>
    </row>
    <row r="85" spans="1:8">
      <c r="A85" s="103" t="s">
        <v>156</v>
      </c>
      <c r="B85" s="103"/>
      <c r="C85" s="103"/>
      <c r="D85" s="86">
        <f>+C75</f>
        <v>5950</v>
      </c>
      <c r="E85" s="78">
        <f t="shared" ref="E85:F85" si="11">+D75</f>
        <v>3350</v>
      </c>
      <c r="F85" s="78">
        <f t="shared" si="11"/>
        <v>3950</v>
      </c>
      <c r="G85" s="81"/>
      <c r="H85" s="40"/>
    </row>
    <row r="86" spans="1:8">
      <c r="A86" s="191" t="s">
        <v>157</v>
      </c>
      <c r="B86" s="191"/>
      <c r="C86" s="104"/>
      <c r="D86" s="87">
        <v>144</v>
      </c>
      <c r="E86" s="80">
        <v>230</v>
      </c>
      <c r="F86" s="80">
        <v>240</v>
      </c>
      <c r="G86" s="81"/>
      <c r="H86" s="40"/>
    </row>
    <row r="87" spans="1:8">
      <c r="A87" s="105" t="s">
        <v>164</v>
      </c>
      <c r="B87" s="103"/>
      <c r="C87" s="103"/>
      <c r="D87" s="86">
        <f>+D86*D85</f>
        <v>856800</v>
      </c>
      <c r="E87" s="78">
        <f>+E86*E85</f>
        <v>770500</v>
      </c>
      <c r="F87" s="78">
        <f>+F86*F85</f>
        <v>948000</v>
      </c>
      <c r="G87" s="79">
        <f>SUM(D87:F87)</f>
        <v>2575300</v>
      </c>
      <c r="H87" s="40"/>
    </row>
    <row r="88" spans="1:8">
      <c r="A88" s="103" t="s">
        <v>151</v>
      </c>
      <c r="B88" s="103"/>
      <c r="C88" s="103"/>
      <c r="D88" s="86">
        <f>+C78</f>
        <v>4215000</v>
      </c>
      <c r="E88" s="78">
        <f t="shared" ref="E88:F88" si="12">+D78</f>
        <v>3467333.3333333335</v>
      </c>
      <c r="F88" s="78">
        <f t="shared" si="12"/>
        <v>6643000.0000000009</v>
      </c>
      <c r="G88" s="79">
        <f>SUM(D88:F88)</f>
        <v>14325333.333333336</v>
      </c>
      <c r="H88" s="40"/>
    </row>
    <row r="89" spans="1:8">
      <c r="A89" s="103" t="s">
        <v>158</v>
      </c>
      <c r="B89" s="103"/>
      <c r="C89" s="103"/>
      <c r="D89" s="86">
        <f>+D88+D87</f>
        <v>5071800</v>
      </c>
      <c r="E89" s="78">
        <f>+E88+E87</f>
        <v>4237833.333333334</v>
      </c>
      <c r="F89" s="78">
        <f>+F88+F87</f>
        <v>7591000.0000000009</v>
      </c>
      <c r="G89" s="79">
        <f>SUM(D89:F89)</f>
        <v>16900633.333333336</v>
      </c>
      <c r="H89" s="40"/>
    </row>
    <row r="90" spans="1:8">
      <c r="A90" s="105" t="s">
        <v>159</v>
      </c>
      <c r="B90" s="103"/>
      <c r="C90" s="103"/>
      <c r="D90" s="86">
        <f>C72*C77</f>
        <v>925200</v>
      </c>
      <c r="E90" s="86">
        <f t="shared" ref="E90" si="13">D72*D77</f>
        <v>786800</v>
      </c>
      <c r="F90" s="86">
        <f>E72*E77</f>
        <v>1380000</v>
      </c>
      <c r="G90" s="79">
        <f>SUM(D90:F90)</f>
        <v>3092000</v>
      </c>
      <c r="H90" s="40"/>
    </row>
    <row r="91" spans="1:8" ht="20.25" customHeight="1" thickBot="1">
      <c r="A91" s="103" t="s">
        <v>152</v>
      </c>
      <c r="B91" s="103"/>
      <c r="C91" s="103"/>
      <c r="D91" s="74">
        <f>+D89-D90</f>
        <v>4146600</v>
      </c>
      <c r="E91" s="75">
        <f>+E89-E90</f>
        <v>3451033.333333334</v>
      </c>
      <c r="F91" s="75">
        <f>+F89-F90</f>
        <v>6211000.0000000009</v>
      </c>
      <c r="G91" s="76">
        <f>SUM(D91:F91)</f>
        <v>13808633.333333336</v>
      </c>
      <c r="H91" s="40"/>
    </row>
    <row r="92" spans="1:8">
      <c r="A92" s="40"/>
      <c r="B92" s="40"/>
      <c r="C92" s="40"/>
      <c r="D92" s="40"/>
      <c r="E92" s="40"/>
      <c r="F92" s="40"/>
      <c r="G92" s="40"/>
      <c r="H92" s="40"/>
    </row>
    <row r="93" spans="1:8">
      <c r="A93" s="179" t="s">
        <v>153</v>
      </c>
      <c r="B93" s="180"/>
      <c r="C93" s="180"/>
      <c r="D93" s="40"/>
      <c r="E93" s="40"/>
      <c r="F93" s="40"/>
      <c r="G93" s="40"/>
      <c r="H93" s="40"/>
    </row>
    <row r="94" spans="1:8" ht="15" thickBot="1">
      <c r="C94" s="40"/>
      <c r="D94" s="40"/>
      <c r="E94" s="40"/>
      <c r="F94" s="40"/>
      <c r="G94" s="40"/>
      <c r="H94" s="40"/>
    </row>
    <row r="95" spans="1:8">
      <c r="A95" s="181" t="s">
        <v>0</v>
      </c>
      <c r="B95" s="182"/>
      <c r="C95" s="98" t="s">
        <v>32</v>
      </c>
      <c r="D95" s="98" t="s">
        <v>126</v>
      </c>
      <c r="E95" s="98" t="s">
        <v>127</v>
      </c>
      <c r="F95" s="99" t="s">
        <v>150</v>
      </c>
      <c r="G95" s="40"/>
      <c r="H95" s="40"/>
    </row>
    <row r="96" spans="1:8">
      <c r="A96" s="14"/>
      <c r="B96" s="95"/>
      <c r="C96" s="95"/>
      <c r="D96" s="95"/>
      <c r="E96" s="95"/>
      <c r="F96" s="120"/>
      <c r="G96" s="40"/>
      <c r="H96" s="40"/>
    </row>
    <row r="97" spans="1:8" ht="18.75" customHeight="1">
      <c r="A97" s="119" t="s">
        <v>108</v>
      </c>
      <c r="B97" s="107"/>
      <c r="C97" s="90">
        <f>+F46*C77</f>
        <v>2460000</v>
      </c>
      <c r="D97" s="90">
        <f>+G46*D77</f>
        <v>1913333.3333333335</v>
      </c>
      <c r="E97" s="90">
        <f>+H46*E77</f>
        <v>3280000.0000000009</v>
      </c>
      <c r="F97" s="91">
        <f>SUM(C97:E97)</f>
        <v>7653333.3333333349</v>
      </c>
      <c r="G97" s="40"/>
      <c r="H97" s="40"/>
    </row>
    <row r="98" spans="1:8" ht="18.75" customHeight="1">
      <c r="A98" s="119" t="s">
        <v>109</v>
      </c>
      <c r="B98" s="107"/>
      <c r="C98" s="90">
        <f>F47*C77</f>
        <v>874800</v>
      </c>
      <c r="D98" s="90">
        <f t="shared" ref="D98:E98" si="14">G47*D77</f>
        <v>907200</v>
      </c>
      <c r="E98" s="90">
        <f t="shared" si="14"/>
        <v>1458000</v>
      </c>
      <c r="F98" s="91">
        <f t="shared" ref="F98:F99" si="15">SUM(C98:E98)</f>
        <v>3240000</v>
      </c>
      <c r="G98" s="40"/>
      <c r="H98" s="40"/>
    </row>
    <row r="99" spans="1:8" ht="18.75" customHeight="1" thickBot="1">
      <c r="A99" s="118" t="s">
        <v>110</v>
      </c>
      <c r="B99" s="108"/>
      <c r="C99" s="90">
        <f>F48*C77</f>
        <v>1026000</v>
      </c>
      <c r="D99" s="92">
        <f t="shared" ref="D99:E99" si="16">G48*D77</f>
        <v>798000</v>
      </c>
      <c r="E99" s="92">
        <f t="shared" si="16"/>
        <v>1710000</v>
      </c>
      <c r="F99" s="92">
        <f t="shared" si="15"/>
        <v>3534000</v>
      </c>
      <c r="G99" s="40"/>
      <c r="H99" s="40"/>
    </row>
    <row r="100" spans="1:8" ht="18.75" customHeight="1" thickBot="1">
      <c r="A100" s="121"/>
      <c r="B100" s="107" t="s">
        <v>165</v>
      </c>
      <c r="C100" s="84">
        <f>SUM(C97:C99)</f>
        <v>4360800</v>
      </c>
      <c r="D100" s="84">
        <f t="shared" ref="D100:F100" si="17">SUM(D97:D99)</f>
        <v>3618533.3333333335</v>
      </c>
      <c r="E100" s="84">
        <f t="shared" si="17"/>
        <v>6448000.0000000009</v>
      </c>
      <c r="F100" s="84">
        <f t="shared" si="17"/>
        <v>14427333.333333336</v>
      </c>
      <c r="G100" s="40"/>
      <c r="H100" s="40"/>
    </row>
    <row r="101" spans="1:8" ht="18.75" customHeight="1" thickTop="1">
      <c r="A101" s="121"/>
      <c r="B101" s="107"/>
      <c r="C101" s="90">
        <f>F50*180</f>
        <v>4360800</v>
      </c>
      <c r="D101" s="90">
        <f>G50*280</f>
        <v>3618533.3333333335</v>
      </c>
      <c r="E101" s="90">
        <f>21493.333*300</f>
        <v>6447999.8999999994</v>
      </c>
      <c r="F101" s="90"/>
      <c r="G101" s="40"/>
      <c r="H101" s="40"/>
    </row>
    <row r="102" spans="1:8">
      <c r="A102" s="97"/>
      <c r="B102" s="97"/>
      <c r="C102" s="40"/>
      <c r="D102" s="40"/>
      <c r="E102" s="40"/>
      <c r="F102" s="40"/>
      <c r="G102" s="40"/>
      <c r="H102" s="40"/>
    </row>
    <row r="103" spans="1:8" ht="15" thickBot="1">
      <c r="A103" s="97"/>
      <c r="B103" s="97"/>
      <c r="C103" s="40"/>
      <c r="D103" s="40"/>
      <c r="E103" s="40"/>
      <c r="F103" s="40"/>
      <c r="G103" s="40"/>
      <c r="H103" s="40"/>
    </row>
    <row r="104" spans="1:8" ht="20.25" customHeight="1">
      <c r="A104" s="183" t="s">
        <v>154</v>
      </c>
      <c r="B104" s="184"/>
      <c r="C104" s="184"/>
      <c r="D104" s="184"/>
      <c r="E104" s="184"/>
      <c r="F104" s="185"/>
      <c r="G104" s="40"/>
      <c r="H104" s="40"/>
    </row>
    <row r="105" spans="1:8" ht="20.25" customHeight="1" thickBot="1">
      <c r="A105" s="122" t="s">
        <v>0</v>
      </c>
      <c r="B105" s="123"/>
      <c r="C105" s="123" t="s">
        <v>32</v>
      </c>
      <c r="D105" s="123" t="s">
        <v>126</v>
      </c>
      <c r="E105" s="123" t="s">
        <v>127</v>
      </c>
      <c r="F105" s="124" t="s">
        <v>150</v>
      </c>
      <c r="G105" s="40"/>
      <c r="H105" s="40"/>
    </row>
    <row r="106" spans="1:8">
      <c r="A106" s="110" t="s">
        <v>166</v>
      </c>
      <c r="B106" s="109"/>
      <c r="C106" s="94">
        <f>+D91/F50</f>
        <v>171.15850302696751</v>
      </c>
      <c r="D106" s="94">
        <f>+E91/G50</f>
        <v>267.03894763992781</v>
      </c>
      <c r="E106" s="94">
        <f>+F91/H50</f>
        <v>288.97332506203475</v>
      </c>
      <c r="F106" s="89"/>
      <c r="G106" s="40"/>
      <c r="H106" s="40"/>
    </row>
    <row r="107" spans="1:8">
      <c r="A107" s="110" t="s">
        <v>108</v>
      </c>
      <c r="B107" s="127" t="s">
        <v>169</v>
      </c>
      <c r="C107" s="90">
        <f>+C106*F46</f>
        <v>2339166.2080352227</v>
      </c>
      <c r="D107" s="90">
        <f>+D106*G46</f>
        <v>1824766.1422061736</v>
      </c>
      <c r="E107" s="90">
        <f>+E106*H46</f>
        <v>3159441.6873449138</v>
      </c>
      <c r="F107" s="91">
        <f>SUM(C107:E107)</f>
        <v>7323374.0375863109</v>
      </c>
      <c r="G107" s="40"/>
      <c r="H107" s="40"/>
    </row>
    <row r="108" spans="1:8">
      <c r="A108" s="110" t="s">
        <v>109</v>
      </c>
      <c r="B108" s="128" t="s">
        <v>139</v>
      </c>
      <c r="C108" s="90">
        <f>F47*C106</f>
        <v>831830.32471106213</v>
      </c>
      <c r="D108" s="90">
        <f>G47*D106</f>
        <v>865206.19035336608</v>
      </c>
      <c r="E108" s="90">
        <f>H47*E106</f>
        <v>1404410.3598014889</v>
      </c>
      <c r="F108" s="91">
        <f t="shared" ref="F108:F109" si="18">SUM(C108:E108)</f>
        <v>3101446.874865917</v>
      </c>
      <c r="G108" s="40"/>
      <c r="H108" s="40"/>
    </row>
    <row r="109" spans="1:8" ht="15" thickBot="1">
      <c r="A109" s="112" t="s">
        <v>110</v>
      </c>
      <c r="B109" s="129" t="s">
        <v>170</v>
      </c>
      <c r="C109" s="92">
        <f>+C106*F48</f>
        <v>975603.4672537148</v>
      </c>
      <c r="D109" s="92">
        <f>+D106*G48</f>
        <v>761061.00077379425</v>
      </c>
      <c r="E109" s="92">
        <f>+E106*H48</f>
        <v>1647147.9528535982</v>
      </c>
      <c r="F109" s="91">
        <f t="shared" si="18"/>
        <v>3383812.4208811074</v>
      </c>
      <c r="G109" s="40"/>
      <c r="H109" s="40"/>
    </row>
    <row r="110" spans="1:8" ht="15" thickBot="1">
      <c r="A110" s="125"/>
      <c r="B110" s="125"/>
      <c r="C110" s="126"/>
      <c r="D110" s="126"/>
      <c r="E110" s="90"/>
      <c r="F110" s="114">
        <f>SUM(F107:F109)</f>
        <v>13808633.333333336</v>
      </c>
      <c r="G110" s="40"/>
      <c r="H110" s="40"/>
    </row>
    <row r="111" spans="1:8" ht="15" thickTop="1">
      <c r="A111" s="125"/>
      <c r="B111" s="125"/>
      <c r="C111" s="126"/>
      <c r="D111" s="126"/>
      <c r="E111" s="90"/>
      <c r="F111" s="90"/>
      <c r="G111" s="40"/>
      <c r="H111" s="40"/>
    </row>
    <row r="112" spans="1:8" ht="15" thickBot="1">
      <c r="A112" s="97"/>
      <c r="B112" s="97"/>
      <c r="C112" s="40"/>
      <c r="D112" s="40"/>
      <c r="E112" s="40"/>
      <c r="F112" s="40"/>
      <c r="G112" s="40"/>
      <c r="H112" s="40"/>
    </row>
    <row r="113" spans="1:9">
      <c r="A113" s="117" t="s">
        <v>155</v>
      </c>
      <c r="B113" s="106"/>
      <c r="C113" s="88"/>
      <c r="D113" s="88"/>
      <c r="E113" s="88"/>
      <c r="F113" s="89"/>
      <c r="G113" s="40"/>
      <c r="H113" s="40"/>
    </row>
    <row r="114" spans="1:9">
      <c r="A114" s="110" t="s">
        <v>108</v>
      </c>
      <c r="B114" s="111"/>
      <c r="C114" s="14" t="s">
        <v>167</v>
      </c>
      <c r="D114" s="95"/>
      <c r="E114" s="95"/>
      <c r="F114" s="91">
        <f>F107/E32</f>
        <v>133.96415922413982</v>
      </c>
      <c r="G114" s="40"/>
      <c r="H114" s="40"/>
    </row>
    <row r="115" spans="1:9">
      <c r="A115" s="110" t="s">
        <v>109</v>
      </c>
      <c r="B115" s="111"/>
      <c r="C115" s="14" t="s">
        <v>168</v>
      </c>
      <c r="D115" s="95"/>
      <c r="E115" s="95"/>
      <c r="F115" s="91">
        <f>F108/E33</f>
        <v>95.723668977343124</v>
      </c>
      <c r="G115" s="40"/>
      <c r="H115" s="40"/>
    </row>
    <row r="116" spans="1:9" ht="15" thickBot="1">
      <c r="A116" s="112" t="s">
        <v>110</v>
      </c>
      <c r="B116" s="113"/>
      <c r="C116" s="96"/>
      <c r="D116" s="96"/>
      <c r="E116" s="96"/>
      <c r="F116" s="93">
        <f>F109/E34</f>
        <v>59.365130190896622</v>
      </c>
      <c r="G116" s="40"/>
      <c r="H116" s="40"/>
    </row>
    <row r="117" spans="1:9">
      <c r="A117" s="40"/>
      <c r="B117" s="40"/>
      <c r="C117" s="40"/>
      <c r="D117" s="40"/>
      <c r="E117" s="40"/>
      <c r="F117" s="40"/>
      <c r="G117" s="40"/>
      <c r="H117" s="40"/>
    </row>
    <row r="121" spans="1:9" ht="15">
      <c r="A121" s="63" t="s">
        <v>171</v>
      </c>
      <c r="B121" s="15" t="s">
        <v>172</v>
      </c>
    </row>
    <row r="122" spans="1:9" ht="15.75" thickBot="1">
      <c r="A122" s="63"/>
      <c r="C122" t="s">
        <v>179</v>
      </c>
      <c r="F122" t="s">
        <v>178</v>
      </c>
    </row>
    <row r="123" spans="1:9" ht="30">
      <c r="A123" s="64"/>
      <c r="B123" s="130" t="s">
        <v>173</v>
      </c>
      <c r="C123" s="65" t="s">
        <v>139</v>
      </c>
      <c r="D123" s="65" t="s">
        <v>140</v>
      </c>
      <c r="E123" s="65" t="s">
        <v>141</v>
      </c>
      <c r="F123" s="65" t="s">
        <v>139</v>
      </c>
      <c r="G123" s="65" t="s">
        <v>140</v>
      </c>
      <c r="H123" s="65" t="s">
        <v>141</v>
      </c>
      <c r="I123" s="66" t="s">
        <v>174</v>
      </c>
    </row>
    <row r="124" spans="1:9" ht="15">
      <c r="A124" s="67" t="s">
        <v>108</v>
      </c>
      <c r="B124" s="137">
        <f>E32</f>
        <v>54666.666666666672</v>
      </c>
      <c r="C124" s="60">
        <v>32</v>
      </c>
      <c r="D124" s="60">
        <v>24</v>
      </c>
      <c r="E124" s="60">
        <v>14</v>
      </c>
      <c r="F124" s="160">
        <f>+C124*($B124/1000)</f>
        <v>1749.3333333333335</v>
      </c>
      <c r="G124" s="68">
        <f>+D124*($B124/1000)</f>
        <v>1312</v>
      </c>
      <c r="H124" s="68">
        <f>+E124*($B124/1000)</f>
        <v>765.33333333333337</v>
      </c>
      <c r="I124" s="69">
        <f>SUM(F124:H124)</f>
        <v>3826.666666666667</v>
      </c>
    </row>
    <row r="125" spans="1:9" ht="15">
      <c r="A125" s="67" t="s">
        <v>109</v>
      </c>
      <c r="B125" s="137">
        <f t="shared" ref="B125:B126" si="19">E33</f>
        <v>32400</v>
      </c>
      <c r="C125" s="60">
        <v>21</v>
      </c>
      <c r="D125" s="60">
        <v>16</v>
      </c>
      <c r="E125" s="60">
        <v>14</v>
      </c>
      <c r="F125" s="160">
        <f>+C125*($B125/1000)</f>
        <v>680.4</v>
      </c>
      <c r="G125" s="68">
        <f t="shared" ref="G125:G126" si="20">+D125*($B125/1000)</f>
        <v>518.4</v>
      </c>
      <c r="H125" s="68">
        <f t="shared" ref="H125" si="21">+E125*($B125/1000)</f>
        <v>453.59999999999997</v>
      </c>
      <c r="I125" s="69">
        <f t="shared" ref="I125:I126" si="22">SUM(F125:H125)</f>
        <v>1652.3999999999999</v>
      </c>
    </row>
    <row r="126" spans="1:9" ht="15">
      <c r="A126" s="67" t="s">
        <v>110</v>
      </c>
      <c r="B126" s="137">
        <f t="shared" si="19"/>
        <v>57000</v>
      </c>
      <c r="C126" s="60">
        <v>11</v>
      </c>
      <c r="D126" s="60">
        <v>8</v>
      </c>
      <c r="E126" s="60">
        <v>5</v>
      </c>
      <c r="F126" s="68">
        <f t="shared" ref="F126" si="23">+C126*($B126/1000)</f>
        <v>627</v>
      </c>
      <c r="G126" s="68">
        <f t="shared" si="20"/>
        <v>456</v>
      </c>
      <c r="H126" s="68">
        <f>+E126*($B126/1000)</f>
        <v>285</v>
      </c>
      <c r="I126" s="69">
        <f t="shared" si="22"/>
        <v>1368</v>
      </c>
    </row>
    <row r="127" spans="1:9" ht="15">
      <c r="A127" s="67" t="s">
        <v>175</v>
      </c>
      <c r="B127" s="138">
        <f>SUM(B124:B126)</f>
        <v>144066.66666666669</v>
      </c>
      <c r="C127" s="70"/>
      <c r="D127" s="70"/>
      <c r="E127" s="70"/>
      <c r="F127" s="136">
        <f>SUM(F124:F126)</f>
        <v>3056.7333333333336</v>
      </c>
      <c r="G127" s="136">
        <f t="shared" ref="G127:I127" si="24">SUM(G124:G126)</f>
        <v>2286.4</v>
      </c>
      <c r="H127" s="136">
        <f t="shared" si="24"/>
        <v>1503.9333333333334</v>
      </c>
      <c r="I127" s="136">
        <f t="shared" si="24"/>
        <v>6847.0666666666666</v>
      </c>
    </row>
    <row r="128" spans="1:9" ht="15">
      <c r="A128" s="67"/>
      <c r="B128" s="70"/>
      <c r="C128" s="70"/>
      <c r="D128" s="70"/>
      <c r="E128" s="70"/>
      <c r="F128" s="70"/>
      <c r="G128" s="70"/>
      <c r="H128" s="70"/>
      <c r="I128" s="71"/>
    </row>
    <row r="129" spans="1:9" ht="15.75" thickBot="1">
      <c r="A129" s="72" t="s">
        <v>176</v>
      </c>
      <c r="B129" s="131"/>
      <c r="C129" s="131"/>
      <c r="D129" s="131"/>
      <c r="E129" s="131"/>
      <c r="F129" s="131">
        <v>960</v>
      </c>
      <c r="G129" s="131">
        <v>920</v>
      </c>
      <c r="H129" s="131">
        <v>840</v>
      </c>
      <c r="I129" s="132"/>
    </row>
    <row r="130" spans="1:9" ht="15.75" thickBot="1">
      <c r="A130" s="135"/>
    </row>
    <row r="131" spans="1:9" ht="15.75" thickBot="1">
      <c r="A131" s="139" t="s">
        <v>177</v>
      </c>
      <c r="B131" s="140"/>
      <c r="C131" s="140"/>
      <c r="D131" s="140"/>
      <c r="E131" s="73"/>
      <c r="F131" s="133">
        <f>+F127*F129</f>
        <v>2934464</v>
      </c>
      <c r="G131" s="133">
        <f>+G127*G129</f>
        <v>2103488</v>
      </c>
      <c r="H131" s="133">
        <f>+H127*H129</f>
        <v>1263304</v>
      </c>
      <c r="I131" s="134">
        <f>SUM(F131:H131)</f>
        <v>6301256</v>
      </c>
    </row>
    <row r="133" spans="1:9" ht="15" thickBot="1">
      <c r="F133" s="55">
        <f>B124/1000</f>
        <v>54.666666666666671</v>
      </c>
    </row>
    <row r="134" spans="1:9" ht="18.75">
      <c r="A134" s="186"/>
      <c r="B134" s="187"/>
      <c r="C134" s="187"/>
      <c r="D134" s="187"/>
      <c r="E134" s="188"/>
      <c r="F134" s="55">
        <f>C124*F133</f>
        <v>1749.3333333333335</v>
      </c>
    </row>
    <row r="135" spans="1:9" ht="15.75">
      <c r="A135" s="151" t="s">
        <v>180</v>
      </c>
      <c r="B135" s="141"/>
      <c r="C135" s="141"/>
      <c r="D135" s="141"/>
      <c r="E135" s="142"/>
      <c r="F135" s="55">
        <f>F134*960</f>
        <v>1679360.0000000002</v>
      </c>
    </row>
    <row r="136" spans="1:9" ht="15">
      <c r="A136" s="153"/>
      <c r="B136" s="154"/>
      <c r="C136" s="154"/>
      <c r="D136" s="155"/>
      <c r="E136" s="155"/>
    </row>
    <row r="137" spans="1:9">
      <c r="A137" s="144" t="s">
        <v>180</v>
      </c>
      <c r="B137" s="145"/>
      <c r="C137" s="145"/>
      <c r="D137" s="145"/>
      <c r="E137" s="143">
        <f>SUM(D137:D139)</f>
        <v>20626589.333333336</v>
      </c>
    </row>
    <row r="138" spans="1:9">
      <c r="A138" s="144" t="s">
        <v>186</v>
      </c>
      <c r="B138" s="145"/>
      <c r="C138" s="145"/>
      <c r="D138" s="145">
        <f>+C80</f>
        <v>14325333.333333336</v>
      </c>
      <c r="E138" s="143"/>
    </row>
    <row r="139" spans="1:9">
      <c r="A139" s="144" t="s">
        <v>181</v>
      </c>
      <c r="B139" s="145"/>
      <c r="C139" s="145"/>
      <c r="D139" s="145">
        <f>I131</f>
        <v>6301256</v>
      </c>
      <c r="E139" s="143"/>
    </row>
    <row r="140" spans="1:9">
      <c r="A140" s="144"/>
      <c r="B140" s="145"/>
      <c r="C140" s="145"/>
      <c r="D140" s="145"/>
      <c r="E140" s="143"/>
    </row>
    <row r="141" spans="1:9" ht="15">
      <c r="A141" s="152" t="s">
        <v>182</v>
      </c>
      <c r="B141" s="145"/>
      <c r="C141" s="145"/>
      <c r="D141" s="145"/>
      <c r="E141" s="143">
        <v>7200000</v>
      </c>
    </row>
    <row r="142" spans="1:9">
      <c r="A142" s="144"/>
      <c r="B142" s="145"/>
      <c r="C142" s="145"/>
      <c r="D142" s="145"/>
      <c r="E142" s="143"/>
    </row>
    <row r="143" spans="1:9" ht="15">
      <c r="A143" s="152" t="s">
        <v>183</v>
      </c>
      <c r="B143" s="145"/>
      <c r="C143" s="145"/>
      <c r="D143" s="145"/>
      <c r="E143" s="143">
        <v>0</v>
      </c>
    </row>
    <row r="144" spans="1:9">
      <c r="A144" s="144"/>
      <c r="B144" s="145"/>
      <c r="C144" s="145"/>
      <c r="D144" s="145"/>
      <c r="E144" s="143"/>
    </row>
    <row r="145" spans="1:5">
      <c r="A145" s="156" t="s">
        <v>184</v>
      </c>
      <c r="B145" s="157"/>
      <c r="C145" s="157"/>
      <c r="D145" s="157"/>
      <c r="E145" s="158">
        <f>+E137+E141+E143</f>
        <v>27826589.333333336</v>
      </c>
    </row>
    <row r="146" spans="1:5" ht="20.25" customHeight="1">
      <c r="A146" s="144" t="s">
        <v>187</v>
      </c>
      <c r="B146" s="145"/>
      <c r="C146" s="145"/>
      <c r="D146" s="145"/>
      <c r="E146" s="143"/>
    </row>
    <row r="147" spans="1:5" ht="20.25" customHeight="1">
      <c r="A147" s="144" t="s">
        <v>188</v>
      </c>
      <c r="B147" s="145"/>
      <c r="C147" s="145"/>
      <c r="D147" s="145"/>
      <c r="E147" s="143"/>
    </row>
    <row r="148" spans="1:5" ht="15.75">
      <c r="A148" s="159" t="s">
        <v>185</v>
      </c>
      <c r="B148" s="146"/>
      <c r="C148" s="146"/>
      <c r="D148" s="146"/>
      <c r="E148" s="147">
        <f>+E146-E147</f>
        <v>0</v>
      </c>
    </row>
    <row r="149" spans="1:5">
      <c r="A149" s="144"/>
      <c r="B149" s="145"/>
      <c r="C149" s="145"/>
      <c r="D149" s="145"/>
      <c r="E149" s="143"/>
    </row>
    <row r="150" spans="1:5" ht="15" thickBot="1">
      <c r="A150" s="148"/>
      <c r="B150" s="131"/>
      <c r="C150" s="131"/>
      <c r="D150" s="149"/>
      <c r="E150" s="150"/>
    </row>
  </sheetData>
  <mergeCells count="14">
    <mergeCell ref="A93:C93"/>
    <mergeCell ref="A95:B95"/>
    <mergeCell ref="A104:F104"/>
    <mergeCell ref="A134:E134"/>
    <mergeCell ref="A71:B71"/>
    <mergeCell ref="A86:B86"/>
    <mergeCell ref="C43:E43"/>
    <mergeCell ref="F43:H43"/>
    <mergeCell ref="I43:J44"/>
    <mergeCell ref="A55:H56"/>
    <mergeCell ref="C58:E58"/>
    <mergeCell ref="F58:H58"/>
    <mergeCell ref="B58:B60"/>
    <mergeCell ref="I50:J5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PTO.VIAJE</vt:lpstr>
      <vt:lpstr>EJERC.1</vt:lpstr>
      <vt:lpstr>EJERC.2</vt:lpstr>
      <vt:lpstr>PTO_VTAS</vt:lpstr>
      <vt:lpstr>pto. efect</vt:lpstr>
      <vt:lpstr>ejerc. tarea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cp:lastPrinted>2013-02-09T04:58:22Z</cp:lastPrinted>
  <dcterms:created xsi:type="dcterms:W3CDTF">2013-02-07T20:38:36Z</dcterms:created>
  <dcterms:modified xsi:type="dcterms:W3CDTF">2013-03-04T04:49:49Z</dcterms:modified>
</cp:coreProperties>
</file>